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1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1.xml" ContentType="application/vnd.openxmlformats-officedocument.spreadsheetml.comments+xml"/>
  <Override PartName="/xl/tables/table21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22.xml" ContentType="application/vnd.openxmlformats-officedocument.spreadsheetml.table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drawings/drawing5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drawings/drawing6.xml" ContentType="application/vnd.openxmlformats-officedocument.drawing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7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drawings/drawing8.xml" ContentType="application/vnd.openxmlformats-officedocument.drawing+xml"/>
  <Override PartName="/xl/tables/table4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0_IPO\2020-2021\2. Летен\VBA\еФормуляр\"/>
    </mc:Choice>
  </mc:AlternateContent>
  <xr:revisionPtr revIDLastSave="0" documentId="13_ncr:1_{D71C8891-7E54-4BF7-924D-B3C98A6141A9}" xr6:coauthVersionLast="47" xr6:coauthVersionMax="47" xr10:uidLastSave="{00000000-0000-0000-0000-000000000000}"/>
  <workbookProtection workbookAlgorithmName="SHA-512" workbookHashValue="6eiBRM+AKgcKfOi6fHN6ltI/Ey3k1pRH84H7I08wf800bEW5pSLwzdE3aAyOcG6joTzAcHXo4BnlcJQ0ZobEoA==" workbookSaltValue="6Ypk1yvYrDSivpZWWtENag==" workbookSpinCount="100000" lockStructure="1"/>
  <bookViews>
    <workbookView xWindow="-120" yWindow="-120" windowWidth="29040" windowHeight="15990" tabRatio="913" firstSheet="6" activeTab="6" xr2:uid="{6F6A31DC-9355-4667-BF17-44349A493A93}"/>
  </bookViews>
  <sheets>
    <sheet name="list" sheetId="3" state="hidden" r:id="rId1"/>
    <sheet name="Coef" sheetId="6" state="hidden" r:id="rId2"/>
    <sheet name="ПЕРИОД" sheetId="16" state="hidden" r:id="rId3"/>
    <sheet name="Корекции" sheetId="10" state="hidden" r:id="rId4"/>
    <sheet name="1. Планд" sheetId="1" state="hidden" r:id="rId5"/>
    <sheet name="1. План" sheetId="20" state="hidden" r:id="rId6"/>
    <sheet name="1. Отчет" sheetId="17" r:id="rId7"/>
    <sheet name="2. ОКС &quot;бакалавър&quot;" sheetId="2" r:id="rId8"/>
    <sheet name="3. ОКС &quot;магистър&quot;" sheetId="4" r:id="rId9"/>
    <sheet name="4. ОНС &quot;доктор&quot;" sheetId="5" r:id="rId10"/>
    <sheet name="5. Подготовка на курс" sheetId="7" r:id="rId11"/>
  </sheets>
  <definedNames>
    <definedName name="BM4DisciplinaD">'4. ОНС "доктор"'!$B$9</definedName>
    <definedName name="BM4KDI">'4. ОНС "доктор"'!$B$18</definedName>
    <definedName name="BM4NRD">'4. ОНС "доктор"'!$B$19</definedName>
    <definedName name="BM4PN">'4. ОНС "доктор"'!$B$11</definedName>
    <definedName name="BM5BrEkip">'5. Подготовка на курс'!$B$13</definedName>
    <definedName name="BM5Deinost">'5. Подготовка на курс'!$B$12</definedName>
    <definedName name="BM5Disciplina">'5. Подготовка на курс'!$B$14</definedName>
    <definedName name="BM5Facultet">'5. Подготовка на курс'!$B$17</definedName>
    <definedName name="BM5Forma" localSheetId="5">Подготовка_курс[[#Headers],[ФормаОб]]</definedName>
    <definedName name="BM5Forma">Подготовка_курс[[#Headers],[ФормаОб]]</definedName>
    <definedName name="BM5LUPU">'5. Подготовка на курс'!$B$21</definedName>
    <definedName name="BM5OKC">'5. Подготовка на курс'!$B$15</definedName>
    <definedName name="BM5Semestar">'5. Подготовка на курс'!$B$20</definedName>
    <definedName name="BM5Spec">'5. Подготовка на курс'!$B$16</definedName>
    <definedName name="BM5Vid">'5. Подготовка на курс'!$B$18</definedName>
    <definedName name="BMBrIzpitaniB">'2. ОКС "бакалавър"'!$N$20</definedName>
    <definedName name="BMBrIzpitaniD">'4. ОНС "доктор"'!$B$15</definedName>
    <definedName name="BMBrIzpitaniM">'3. ОКС "магистър"'!$N$20</definedName>
    <definedName name="BMBrKRB">'2. ОКС "бакалавър"'!$N$24</definedName>
    <definedName name="BMBrKRM">'3. ОКС "магистър"'!$N$22</definedName>
    <definedName name="BMBrLiUD">'4. ОНС "доктор"'!$B$14</definedName>
    <definedName name="BMBroiD">'4. ОНС "доктор"'!$B$13</definedName>
    <definedName name="BMBrStB">'2. ОКС "бакалавър"'!$N$14</definedName>
    <definedName name="BMBrStM">'3. ОКС "магистър"'!$N$14</definedName>
    <definedName name="BMBrTOB">'2. ОКС "бакалавър"'!$N$21</definedName>
    <definedName name="BMBrTOM">'3. ОКС "магистър"'!$N$21</definedName>
    <definedName name="BMDisciplinaB">'2. ОКС "бакалавър"'!$N$8</definedName>
    <definedName name="BMDisciplinaD">'4. ОНС "доктор"'!$B$9</definedName>
    <definedName name="BMdisciplinaM">'3. ОКС "магистър"'!$N$8</definedName>
    <definedName name="BMDopPoqsnenieD">'4. ОНС "доктор"'!$B$10</definedName>
    <definedName name="BMEzikB">'2. ОКС "бакалавър"'!$N$17</definedName>
    <definedName name="BMEzikD">'4. ОНС "доктор"'!$B$12</definedName>
    <definedName name="BMEzikM">'3. ОКС "магистър"'!$N$17</definedName>
    <definedName name="BMFakultetB">'2. ОКС "бакалавър"'!$N$10</definedName>
    <definedName name="BMFakultetM">'3. ОКС "магистър"'!$N$10</definedName>
    <definedName name="BMFormaObB">'2. ОКС "бакалавър"'!$N$13</definedName>
    <definedName name="BMFormaObM">'3. ОКС "магистър"'!$N$13</definedName>
    <definedName name="BMFormaOcB">'2. ОКС "бакалавър"'!$N$18</definedName>
    <definedName name="BMFormaOcM">'3. ОКС "магистър"'!$N$18</definedName>
    <definedName name="BMHomeOP" localSheetId="6">'1. Отчет'!$B$72:$L$74</definedName>
    <definedName name="BMHomeOP" localSheetId="5">'1. План'!$B$73:$L$75</definedName>
    <definedName name="BMHomeOP">'1. Планд'!$B$72:$L$74</definedName>
    <definedName name="BMHomeTotal" localSheetId="6">'1. Отчет'!$B$54:$G$55</definedName>
    <definedName name="BMHomeTotal" localSheetId="5">'1. План'!$B$55:$G$56</definedName>
    <definedName name="BMHomeTotal">'1. Планд'!$B$54:$G$55</definedName>
    <definedName name="BMKursB">'2. ОКС "бакалавър"'!$N$12</definedName>
    <definedName name="BMKursM">'3. ОКС "магистър"'!$N$12</definedName>
    <definedName name="BMNRD">'4. ОНС "доктор"'!$B$19</definedName>
    <definedName name="BMPodgotovkaKurs">'5. Подготовка на курс'!$B$7</definedName>
    <definedName name="BMPraktikiZSM">'3. ОКС "магистър"'!$N$52</definedName>
    <definedName name="BMRealenBrLiUB">'2. ОКС "бакалавър"'!$N$15</definedName>
    <definedName name="BMRealenBrLiUM">'3. ОКС "магистър"'!$N$15</definedName>
    <definedName name="BMSpecialnostB">'2. ОКС "бакалавър"'!$N$9</definedName>
    <definedName name="BMSpecialnostM">'3. ОКС "магистър"'!$N$9</definedName>
    <definedName name="BMTAB">'2. ОКС "бакалавър"'!$N$19</definedName>
    <definedName name="BMTAM">'3. ОКС "магистър"'!$N$19</definedName>
    <definedName name="BMVidDB">'2. ОКС "бакалавър"'!$N$11</definedName>
    <definedName name="BMVidDM">'3. ОКС "магистър"'!$N$11</definedName>
    <definedName name="BrStB">'2. ОКС "бакалавър"'!$N$14</definedName>
    <definedName name="Col_Hide_1_ОтчетЗЛ" hidden="1">'1. Отчет'!$N:$S</definedName>
    <definedName name="Col_Hide_1_План" localSheetId="5">'1. План'!$M:$R</definedName>
    <definedName name="Col_Hide_1_План" hidden="1">'1. Планд'!$N:$S</definedName>
    <definedName name="Col_Hide_2_ОКС_Бакалавър" hidden="1">'2. ОКС "бакалавър"'!$B:$M</definedName>
    <definedName name="Col_Hide_3_ОКС_Магистър">'3. ОКС "магистър"'!$B:$M</definedName>
    <definedName name="Col_Hide_4_ОНС_Доктор">'4. ОНС "доктор"'!$K:$P</definedName>
    <definedName name="Col_Hide_5_Подготовка_курс">'5. Подготовка на курс'!$N:$AD</definedName>
    <definedName name="d">'2. ОКС "бакалавър"'!$N$9</definedName>
    <definedName name="disciplinaB">'2. ОКС "бакалавър"'!$N$8</definedName>
    <definedName name="disciplinaM">'3. ОКС "магистър"'!$N$8</definedName>
    <definedName name="_xlnm.Extract" localSheetId="7">'2. ОКС "бакалавър"'!$O$30:$R$49</definedName>
    <definedName name="EzikB">'2. ОКС "бакалавър"'!$N$17</definedName>
    <definedName name="FakultetB">'2. ОКС "бакалавър"'!$N$10</definedName>
    <definedName name="FakultetM">'3. ОКС "магистър"'!$N$10</definedName>
    <definedName name="FileName_Semester">ПЕРИОД!$D$19</definedName>
    <definedName name="FormaObB">'2. ОКС "бакалавър"'!$N$13</definedName>
    <definedName name="FormaOcB">'2. ОКС "бакалавър"'!$N$18</definedName>
    <definedName name="Instrukcia">'3. ОКС "магистър"'!$N$7</definedName>
    <definedName name="InstrukciaB">'2. ОКС "бакалавър"'!$N$7</definedName>
    <definedName name="InstrukciaD">'4. ОНС "доктор"'!$B$7</definedName>
    <definedName name="InstrukciaM">'3. ОКС "магистър"'!$N$7</definedName>
    <definedName name="IPBMD" localSheetId="6">'1. Отчет'!$B$12</definedName>
    <definedName name="IPBMD" localSheetId="5">'1. План'!$B$12</definedName>
    <definedName name="IPBMD">'1. Планд'!$B$11</definedName>
    <definedName name="KursB">'2. ОКС "бакалавър"'!$N$12</definedName>
    <definedName name="KursM">'3. ОКС "магистър"'!$N$12</definedName>
    <definedName name="L_Инструкция_Бакалавър">'2. ОКС "бакалавър"'!$N$7:$AB$24</definedName>
    <definedName name="L_Инструкция_Доктор">'4. ОНС "доктор"'!$B$7:$J$19</definedName>
    <definedName name="L_Инструкция_Магистър">'3. ОКС "магистър"'!$N$7:$AB$22</definedName>
    <definedName name="L_Инструкция_ПодготовкаКурс">'5. Подготовка на курс'!$B$7:$M$21</definedName>
    <definedName name="LetenSemestarB">'2. ОКС "бакалавър"'!$N$76</definedName>
    <definedName name="LetenSemestarM">'3. ОКС "магистър"'!$N$76</definedName>
    <definedName name="mark">'3. ОКС "магистър"'!$N$17</definedName>
    <definedName name="nGetLenData1">'1. Планд'!$O$21</definedName>
    <definedName name="nGetLenData2">'1. Планд'!$P$21</definedName>
    <definedName name="nGetLogData1">'1. Планд'!$O$13</definedName>
    <definedName name="nGetLogData2">'1. Планд'!$P$13</definedName>
    <definedName name="nnГодишнаЗаетост">'1. Отчет'!$H$58:$L$59</definedName>
    <definedName name="nnОтчет">'1. Отчет'!$B$24:$L$55</definedName>
    <definedName name="nnРеалниЧасове">'1. Отчет'!$K$58</definedName>
    <definedName name="nаАкадДлъж">INDIRECT("T_АкадДлъж[акад. длъж]")</definedName>
    <definedName name="nАдадДлъжОтчет">'1. Отчет'!$B$14</definedName>
    <definedName name="nАдадДлъжПлан">'1. План'!$B$14</definedName>
    <definedName name="nАкадДлъж">INDIRECT("T_АкадДлъж[Академична длъжност в СУ]")</definedName>
    <definedName name="nАктуализация">list!$A$93</definedName>
    <definedName name="nБакалавър">list!$C$91</definedName>
    <definedName name="nд_об">list!$A$55</definedName>
    <definedName name="nЗимен">ПЕРИОД!$H$4</definedName>
    <definedName name="nЗименЛетен">ПЕРИОД!$G$4:$G$5</definedName>
    <definedName name="nКатедраОтчет">'1. Отчет'!$B$9</definedName>
    <definedName name="nКатедраПлан">'1. План'!$B$9</definedName>
    <definedName name="nкоефД_об">Coef!$B$28</definedName>
    <definedName name="nкоефР_об_З_об">Coef!$B$27</definedName>
    <definedName name="nЛетен">ПЕРИОД!$I$4</definedName>
    <definedName name="nМагистър">list!$C$92</definedName>
    <definedName name="nНов_курс">list!$A$91</definedName>
    <definedName name="nПреподавателОтчет">'1. Отчет'!$F$14</definedName>
    <definedName name="nПреподавателПлан">'1. План'!$F$14</definedName>
    <definedName name="nРъковДлъжОтчет">'1. Отчет'!$E$19</definedName>
    <definedName name="nРъковДлъжПлан">'1. План'!$E$19</definedName>
    <definedName name="nУчебни_ресурси">list!$A$92</definedName>
    <definedName name="nФакултетОтчет">'1. Отчет'!$B$7</definedName>
    <definedName name="nФакултетПлан">'1. План'!$B$7</definedName>
    <definedName name="ObPotokB">'2. ОКС "бакалавър"'!$N$125</definedName>
    <definedName name="ObPotokM">'3. ОКС "магистър"'!$N$125</definedName>
    <definedName name="ONSDr">'4. ОНС "доктор"'!$B$21</definedName>
    <definedName name="Print_1_Отчет">'1. Отчет'!$B$5:$L$67</definedName>
    <definedName name="Print_1_План" localSheetId="5">'1. План'!$B$5:$L$69</definedName>
    <definedName name="Print_1_План">'1. Планд'!$B$4:$L$68</definedName>
    <definedName name="Print_2_Бакалавър_Зимен">'2. ОКС "бакалавър"'!$N$26:$AB$74,'2. ОКС "бакалавър"'!$N$124:$W$141</definedName>
    <definedName name="Print_2_Бакалавър_Летен">'2. ОКС "бакалавър"'!$N$75:$AB$122,'2. ОКС "бакалавър"'!$N$124:$W$141</definedName>
    <definedName name="Print_2_Бакалавър_План">'2. ОКС "бакалавър"'!$N$26:$AB$73,'2. ОКС "бакалавър"'!$N$75:$AB$122,'2. ОКС "бакалавър"'!$N$124:$W$141</definedName>
    <definedName name="Print_2_Бакалавър_Септември">'2. ОКС "бакалавър"'!$N$26:$AB$73,'2. ОКС "бакалавър"'!$N$75:$AB$122</definedName>
    <definedName name="Print_3_Магистър_Зимен">'3. ОКС "магистър"'!$N$26:$AB$73,'3. ОКС "магистър"'!$N$124:$W$141</definedName>
    <definedName name="Print_3_Магистър_Летен">'3. ОКС "магистър"'!$N$75:$AB$122,'3. ОКС "магистър"'!$N$124:$W$141</definedName>
    <definedName name="Print_3_Магистър_План">'3. ОКС "магистър"'!$N$26:$AB$73,'3. ОКС "магистър"'!$N$75:$AB$122,'3. ОКС "магистър"'!$N$124:$W$141</definedName>
    <definedName name="Print_3_Магистър_Септември">'3. ОКС "магистър"'!$N$26:$AB$73,'3. ОКС "магистър"'!$N$75:$AB$122</definedName>
    <definedName name="_xlnm.Print_Area" localSheetId="6">'1. Отчет'!$B$5:$L$67</definedName>
    <definedName name="_xlnm.Print_Area" localSheetId="5">'1. План'!$B$5:$L$69</definedName>
    <definedName name="_xlnm.Print_Area" localSheetId="4">'1. Планд'!$B$4:$L$68</definedName>
    <definedName name="_xlnm.Print_Area" localSheetId="7">'2. ОКС "бакалавър"'!$N$75:$AB$122,'2. ОКС "бакалавър"'!$N$124:$W$141</definedName>
    <definedName name="_xlnm.Print_Area" localSheetId="8">'3. ОКС "магистър"'!$N$75:$AB$122,'3. ОКС "магистър"'!$N$124:$W$141</definedName>
    <definedName name="_xlnm.Print_Area" localSheetId="9">'4. ОНС "доктор"'!$B$21:$J$40</definedName>
    <definedName name="_xlnm.Print_Area" localSheetId="10">'5. Подготовка на курс'!$B$23:$M$37</definedName>
    <definedName name="_xlnm.Print_Titles" localSheetId="7">'2. ОКС "бакалавър"'!$1:$2</definedName>
    <definedName name="_xlnm.Print_Titles" localSheetId="8">'3. ОКС "магистър"'!$1:$2</definedName>
    <definedName name="_xlnm.Print_Titles" localSheetId="9">'4. ОНС "доктор"'!$1:$2</definedName>
    <definedName name="_xlnm.Print_Titles" localSheetId="10">'5. Подготовка на курс'!$1:$2</definedName>
    <definedName name="RealenBrLiUB">'2. ОКС "бакалавър"'!$N$15</definedName>
    <definedName name="RealenBrLiUM">'3. ОКС "магистър"'!$N$15</definedName>
    <definedName name="Row_Бакалавър_Hide">'2. ОКС "бакалавър"'!$25:$141</definedName>
    <definedName name="Row_Бакалавър_PotokB">'2. ОКС "бакалавър"'!$123:$141</definedName>
    <definedName name="Row_Бакалавър_Table_Header">'2. ОКС "бакалавър"'!$128:$128,'2. ОКС "бакалавър"'!$119:$119,'2. ОКС "бакалавър"'!$104:$104,'2. ОКС "бакалавър"'!$79:$79,'2. ОКС "бакалавър"'!$70:$70,'2. ОКС "бакалавър"'!$55:$55,'2. ОКС "бакалавър"'!$30:$30</definedName>
    <definedName name="Row_Бакалавър_Зимен_семестър">'2. ОКС "бакалавър"'!$15:$15,'2. ОКС "бакалавър"'!$25:$73,'2. ОКС "бакалавър"'!$123:$141</definedName>
    <definedName name="Row_Бакалавър_Летен_семестър">'2. ОКС "бакалавър"'!$15:$15,'2. ОКС "бакалавър"'!$74:$141</definedName>
    <definedName name="Row_Бакалавър_Отчет_Hide">'2. ОКС "бакалавър"'!$15:$15</definedName>
    <definedName name="Row_Бакалавър_План">'2. ОКС "бакалавър"'!$15:$15,'2. ОКС "бакалавър"'!$25:$141</definedName>
    <definedName name="Row_Бакалавър_План_Hide">'2. ОКС "бакалавър"'!$16:$16</definedName>
    <definedName name="Row_Бакалавър_Септември">'2. ОКС "бакалавър"'!$16:$16,'2. ОКС "бакалавър"'!$25:$122</definedName>
    <definedName name="Row_Магистър_Hide">'3. ОКС "магистър"'!$25:$141</definedName>
    <definedName name="Row_Магистър_PotokM">'3. ОКС "магистър"'!$123:$141</definedName>
    <definedName name="Row_Магистър_Table_Header">'3. ОКС "магистър"'!$30:$30,'3. ОКС "магистър"'!$55:$55,'3. ОКС "магистър"'!$70:$70,'3. ОКС "магистър"'!$79:$79,'3. ОКС "магистър"'!$104:$104,'3. ОКС "магистър"'!$119:$119,'3. ОКС "магистър"'!$119:$119,'3. ОКС "магистър"'!$128:$128</definedName>
    <definedName name="Row_Магистър_Зимен_семестър">'3. ОКС "магистър"'!$15:$15,'3. ОКС "магистър"'!$25:$73,'3. ОКС "магистър"'!$123:$141</definedName>
    <definedName name="Row_Магистър_Летен_семестър">'3. ОКС "магистър"'!$15:$15,'3. ОКС "магистър"'!$74:$141</definedName>
    <definedName name="Row_Магистър_Отчет_Hide">'3. ОКС "магистър"'!$15:$15</definedName>
    <definedName name="Row_Магистър_План">'3. ОКС "магистър"'!$15:$15,'3. ОКС "магистър"'!$25:$141</definedName>
    <definedName name="Row_Магистър_План_Hide">'3. ОКС "магистър"'!$16:$16</definedName>
    <definedName name="Row_Магистър_Септември">'3. ОКС "магистър"'!$16:$16,'3. ОКС "магистър"'!$25:$122</definedName>
    <definedName name="RRRRR3">'3. ОКС "магистър"'!$N$124,'3. ОКС "магистър"'!$W$141</definedName>
    <definedName name="SpecialnostB">'2. ОКС "бакалавър"'!$N$9</definedName>
    <definedName name="SpecialnostM">'3. ОКС "магистър"'!$N$9</definedName>
    <definedName name="VidDB">'2. ОКС "бакалавър"'!$N$11</definedName>
    <definedName name="VidDM">'3. ОКС "магистър"'!$N$11</definedName>
    <definedName name="ZimenSemestarB">'2. ОКС "бакалавър"'!$N$27</definedName>
    <definedName name="ZimenSemestarM">'3. ОКС "магистър"'!$N$27</definedName>
    <definedName name="Език_БЕ">list!$A$59</definedName>
    <definedName name="Език_ЧЕ">list!$A$60</definedName>
    <definedName name="кДИ_защита">Coef!$B$14</definedName>
    <definedName name="кДипломна_работа">Coef!$B$12</definedName>
    <definedName name="кЕзик_БЕ">Coef!$F$6</definedName>
    <definedName name="кЕзик_ФЧЕ">Coef!$F$8</definedName>
    <definedName name="кЕзик_ЧЕ">Coef!$F$7</definedName>
    <definedName name="кИзпитаниДок">Coef!$B$20</definedName>
    <definedName name="кКурсова_работа">Coef!$B$11</definedName>
    <definedName name="кЛекции">Coef!$B$4</definedName>
    <definedName name="кРецензия">Coef!$B$13</definedName>
    <definedName name="кТО">Coef!$B$9</definedName>
    <definedName name="кУпражнение">Coef!$B$3</definedName>
    <definedName name="Лекторат">'1. Планд'!$Q$26</definedName>
    <definedName name="пФакултет">ПЕРИОД!$D$13</definedName>
    <definedName name="Семестър">ПЕРИОД!$D$10</definedName>
    <definedName name="Учебна_година">ПЕРИОД!$D$9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6" i="3" l="1"/>
  <c r="BM7" i="3"/>
  <c r="BM8" i="3"/>
  <c r="BM9" i="3"/>
  <c r="BM10" i="3"/>
  <c r="BM11" i="3"/>
  <c r="BM12" i="3"/>
  <c r="BM13" i="3"/>
  <c r="BM14" i="3"/>
  <c r="BM15" i="3"/>
  <c r="BM16" i="3"/>
  <c r="BM17" i="3"/>
  <c r="BM18" i="3"/>
  <c r="BM19" i="3"/>
  <c r="BM20" i="3"/>
  <c r="BM21" i="3"/>
  <c r="BM22" i="3"/>
  <c r="BM23" i="3"/>
  <c r="BM24" i="3"/>
  <c r="BM25" i="3"/>
  <c r="BM26" i="3"/>
  <c r="BM27" i="3"/>
  <c r="BM28" i="3"/>
  <c r="BM29" i="3"/>
  <c r="BM30" i="3"/>
  <c r="BM31" i="3"/>
  <c r="BM32" i="3"/>
  <c r="BM33" i="3"/>
  <c r="BM34" i="3"/>
  <c r="BM35" i="3"/>
  <c r="BM36" i="3"/>
  <c r="BL6" i="3"/>
  <c r="BL7" i="3"/>
  <c r="BL8" i="3"/>
  <c r="BL9" i="3"/>
  <c r="BL10" i="3"/>
  <c r="BL11" i="3"/>
  <c r="BL12" i="3"/>
  <c r="BL13" i="3"/>
  <c r="BL14" i="3"/>
  <c r="BL15" i="3"/>
  <c r="BL16" i="3"/>
  <c r="BL17" i="3"/>
  <c r="BL18" i="3"/>
  <c r="BL19" i="3"/>
  <c r="BL20" i="3"/>
  <c r="BL21" i="3"/>
  <c r="BL22" i="3"/>
  <c r="BL23" i="3"/>
  <c r="BL24" i="3"/>
  <c r="BL25" i="3"/>
  <c r="BL26" i="3"/>
  <c r="BL27" i="3"/>
  <c r="BL28" i="3"/>
  <c r="BL29" i="3"/>
  <c r="BL30" i="3"/>
  <c r="BL31" i="3"/>
  <c r="BL32" i="3"/>
  <c r="BL33" i="3"/>
  <c r="BL34" i="3"/>
  <c r="BL35" i="3"/>
  <c r="BL36" i="3"/>
  <c r="BK6" i="3"/>
  <c r="BK7" i="3"/>
  <c r="BK8" i="3"/>
  <c r="BK9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J6" i="3"/>
  <c r="BJ7" i="3"/>
  <c r="BJ8" i="3"/>
  <c r="BJ9" i="3"/>
  <c r="BJ10" i="3"/>
  <c r="BJ11" i="3"/>
  <c r="BJ12" i="3"/>
  <c r="BJ13" i="3"/>
  <c r="BJ14" i="3"/>
  <c r="BJ15" i="3"/>
  <c r="BJ16" i="3"/>
  <c r="BJ17" i="3"/>
  <c r="BJ18" i="3"/>
  <c r="BJ19" i="3"/>
  <c r="BJ20" i="3"/>
  <c r="BJ21" i="3"/>
  <c r="BJ22" i="3"/>
  <c r="BJ23" i="3"/>
  <c r="BJ24" i="3"/>
  <c r="BJ25" i="3"/>
  <c r="BJ26" i="3"/>
  <c r="BJ27" i="3"/>
  <c r="BJ28" i="3"/>
  <c r="BJ29" i="3"/>
  <c r="BJ30" i="3"/>
  <c r="BJ31" i="3"/>
  <c r="BJ32" i="3"/>
  <c r="BJ33" i="3"/>
  <c r="BJ34" i="3"/>
  <c r="BJ35" i="3"/>
  <c r="BJ36" i="3"/>
  <c r="BF6" i="3"/>
  <c r="BF7" i="3"/>
  <c r="BF8" i="3"/>
  <c r="BF9" i="3"/>
  <c r="BF10" i="3"/>
  <c r="BF11" i="3"/>
  <c r="BF12" i="3"/>
  <c r="BF13" i="3"/>
  <c r="BF14" i="3"/>
  <c r="BF15" i="3"/>
  <c r="BF16" i="3"/>
  <c r="BF17" i="3"/>
  <c r="BF18" i="3"/>
  <c r="BF19" i="3"/>
  <c r="BF20" i="3"/>
  <c r="BF21" i="3"/>
  <c r="BF22" i="3"/>
  <c r="BF23" i="3"/>
  <c r="BF24" i="3"/>
  <c r="BF25" i="3"/>
  <c r="BF26" i="3"/>
  <c r="BF27" i="3"/>
  <c r="BF28" i="3"/>
  <c r="BF29" i="3"/>
  <c r="BF30" i="3"/>
  <c r="BF31" i="3"/>
  <c r="BF32" i="3"/>
  <c r="BF33" i="3"/>
  <c r="BF34" i="3"/>
  <c r="BF35" i="3"/>
  <c r="BF36" i="3"/>
  <c r="X4" i="3"/>
  <c r="W4" i="3"/>
  <c r="V4" i="3"/>
  <c r="U4" i="3"/>
  <c r="AA4" i="3"/>
  <c r="Y4" i="3"/>
  <c r="Z4" i="3"/>
  <c r="R2" i="3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M10" i="3"/>
  <c r="M11" i="3" s="1"/>
  <c r="M12" i="3" s="1"/>
  <c r="CA34" i="3"/>
  <c r="CA33" i="3"/>
  <c r="CB32" i="3"/>
  <c r="CA32" i="3"/>
  <c r="BZ32" i="3"/>
  <c r="CB31" i="3"/>
  <c r="CA31" i="3"/>
  <c r="BZ31" i="3"/>
  <c r="BT6" i="3"/>
  <c r="CF36" i="3"/>
  <c r="BV36" i="3"/>
  <c r="BU36" i="3"/>
  <c r="BI36" i="3"/>
  <c r="BH36" i="3"/>
  <c r="BG36" i="3"/>
  <c r="BE36" i="3"/>
  <c r="CF35" i="3"/>
  <c r="BV35" i="3"/>
  <c r="BU35" i="3"/>
  <c r="BI35" i="3"/>
  <c r="BH35" i="3"/>
  <c r="BG35" i="3"/>
  <c r="BE35" i="3"/>
  <c r="CF34" i="3"/>
  <c r="BV34" i="3"/>
  <c r="BU34" i="3"/>
  <c r="BI34" i="3"/>
  <c r="BH34" i="3"/>
  <c r="BG34" i="3"/>
  <c r="BE34" i="3"/>
  <c r="CF33" i="3"/>
  <c r="BV33" i="3"/>
  <c r="BU33" i="3"/>
  <c r="BI33" i="3"/>
  <c r="BH33" i="3"/>
  <c r="BG33" i="3"/>
  <c r="BE33" i="3"/>
  <c r="CF32" i="3"/>
  <c r="BV32" i="3"/>
  <c r="BU32" i="3"/>
  <c r="BI32" i="3"/>
  <c r="BH32" i="3"/>
  <c r="BG32" i="3"/>
  <c r="BE32" i="3"/>
  <c r="CF31" i="3"/>
  <c r="BV31" i="3"/>
  <c r="BU31" i="3"/>
  <c r="BI31" i="3"/>
  <c r="BH31" i="3"/>
  <c r="BG31" i="3"/>
  <c r="BE31" i="3"/>
  <c r="CF30" i="3"/>
  <c r="BV30" i="3"/>
  <c r="BU30" i="3"/>
  <c r="BI30" i="3"/>
  <c r="BH30" i="3"/>
  <c r="BG30" i="3"/>
  <c r="BE30" i="3"/>
  <c r="CF29" i="3"/>
  <c r="BV29" i="3"/>
  <c r="BU29" i="3"/>
  <c r="BI29" i="3"/>
  <c r="BH29" i="3"/>
  <c r="BG29" i="3"/>
  <c r="BE29" i="3"/>
  <c r="CF28" i="3"/>
  <c r="BV28" i="3"/>
  <c r="BU28" i="3"/>
  <c r="BI28" i="3"/>
  <c r="BH28" i="3"/>
  <c r="BG28" i="3"/>
  <c r="BE28" i="3"/>
  <c r="CF27" i="3"/>
  <c r="BV27" i="3"/>
  <c r="BU27" i="3"/>
  <c r="BI27" i="3"/>
  <c r="BH27" i="3"/>
  <c r="BG27" i="3"/>
  <c r="BE27" i="3"/>
  <c r="CF26" i="3"/>
  <c r="BV26" i="3"/>
  <c r="BU26" i="3"/>
  <c r="BI26" i="3"/>
  <c r="BH26" i="3"/>
  <c r="BG26" i="3"/>
  <c r="BE26" i="3"/>
  <c r="CF25" i="3"/>
  <c r="BV25" i="3"/>
  <c r="BU25" i="3"/>
  <c r="BI25" i="3"/>
  <c r="BH25" i="3"/>
  <c r="BG25" i="3"/>
  <c r="BE25" i="3"/>
  <c r="CF24" i="3"/>
  <c r="BV24" i="3"/>
  <c r="BU24" i="3"/>
  <c r="BI24" i="3"/>
  <c r="BH24" i="3"/>
  <c r="BG24" i="3"/>
  <c r="BE24" i="3"/>
  <c r="CF23" i="3"/>
  <c r="BV23" i="3"/>
  <c r="BU23" i="3"/>
  <c r="BI23" i="3"/>
  <c r="BH23" i="3"/>
  <c r="BG23" i="3"/>
  <c r="BE23" i="3"/>
  <c r="CF22" i="3"/>
  <c r="BV22" i="3"/>
  <c r="BU22" i="3"/>
  <c r="BI22" i="3"/>
  <c r="BH22" i="3"/>
  <c r="BG22" i="3"/>
  <c r="BE22" i="3"/>
  <c r="CF21" i="3"/>
  <c r="BV21" i="3"/>
  <c r="BU21" i="3"/>
  <c r="BI21" i="3"/>
  <c r="BH21" i="3"/>
  <c r="BG21" i="3"/>
  <c r="BE21" i="3"/>
  <c r="CF20" i="3"/>
  <c r="BV20" i="3"/>
  <c r="BU20" i="3"/>
  <c r="BI20" i="3"/>
  <c r="BH20" i="3"/>
  <c r="BG20" i="3"/>
  <c r="BE20" i="3"/>
  <c r="CF19" i="3"/>
  <c r="BV19" i="3"/>
  <c r="BU19" i="3"/>
  <c r="BI19" i="3"/>
  <c r="BH19" i="3"/>
  <c r="BG19" i="3"/>
  <c r="BE19" i="3"/>
  <c r="CF18" i="3"/>
  <c r="BV18" i="3"/>
  <c r="BU18" i="3"/>
  <c r="BI18" i="3"/>
  <c r="BH18" i="3"/>
  <c r="BG18" i="3"/>
  <c r="BE18" i="3"/>
  <c r="CF17" i="3"/>
  <c r="BV17" i="3"/>
  <c r="BU17" i="3"/>
  <c r="BI17" i="3"/>
  <c r="BH17" i="3"/>
  <c r="BG17" i="3"/>
  <c r="BE17" i="3"/>
  <c r="CF16" i="3"/>
  <c r="BV16" i="3"/>
  <c r="BU16" i="3"/>
  <c r="BI16" i="3"/>
  <c r="BH16" i="3"/>
  <c r="BG16" i="3"/>
  <c r="BE16" i="3"/>
  <c r="CF15" i="3"/>
  <c r="BV15" i="3"/>
  <c r="BU15" i="3"/>
  <c r="BI15" i="3"/>
  <c r="BH15" i="3"/>
  <c r="BG15" i="3"/>
  <c r="BE15" i="3"/>
  <c r="CF14" i="3"/>
  <c r="BV14" i="3"/>
  <c r="BU14" i="3"/>
  <c r="BI14" i="3"/>
  <c r="BH14" i="3"/>
  <c r="BG14" i="3"/>
  <c r="BE14" i="3"/>
  <c r="CF13" i="3"/>
  <c r="BV13" i="3"/>
  <c r="BU13" i="3"/>
  <c r="BI13" i="3"/>
  <c r="BH13" i="3"/>
  <c r="BG13" i="3"/>
  <c r="BE13" i="3"/>
  <c r="CF12" i="3"/>
  <c r="BV12" i="3"/>
  <c r="BU12" i="3"/>
  <c r="BI12" i="3"/>
  <c r="BH12" i="3"/>
  <c r="BG12" i="3"/>
  <c r="BE12" i="3"/>
  <c r="CF11" i="3"/>
  <c r="BV11" i="3"/>
  <c r="BU11" i="3"/>
  <c r="BI11" i="3"/>
  <c r="BH11" i="3"/>
  <c r="BG11" i="3"/>
  <c r="BE11" i="3"/>
  <c r="CF10" i="3"/>
  <c r="BV10" i="3"/>
  <c r="BU10" i="3"/>
  <c r="BI10" i="3"/>
  <c r="BH10" i="3"/>
  <c r="BG10" i="3"/>
  <c r="BE10" i="3"/>
  <c r="CF9" i="3"/>
  <c r="BV9" i="3"/>
  <c r="BU9" i="3"/>
  <c r="BI9" i="3"/>
  <c r="BH9" i="3"/>
  <c r="BG9" i="3"/>
  <c r="BE9" i="3"/>
  <c r="CF8" i="3"/>
  <c r="BV8" i="3"/>
  <c r="BU8" i="3"/>
  <c r="BI8" i="3"/>
  <c r="BH8" i="3"/>
  <c r="BG8" i="3"/>
  <c r="BE8" i="3"/>
  <c r="CF7" i="3"/>
  <c r="BV7" i="3"/>
  <c r="BU7" i="3"/>
  <c r="BI7" i="3"/>
  <c r="BH7" i="3"/>
  <c r="BG7" i="3"/>
  <c r="BE7" i="3"/>
  <c r="CF6" i="3"/>
  <c r="BV6" i="3"/>
  <c r="BU6" i="3"/>
  <c r="BT7" i="3"/>
  <c r="BT8" i="3" s="1"/>
  <c r="BT9" i="3" s="1"/>
  <c r="BT10" i="3" s="1"/>
  <c r="BT11" i="3" s="1"/>
  <c r="BT12" i="3" s="1"/>
  <c r="BT13" i="3" s="1"/>
  <c r="BT14" i="3" s="1"/>
  <c r="BT15" i="3" s="1"/>
  <c r="BT16" i="3" s="1"/>
  <c r="BT17" i="3" s="1"/>
  <c r="BT18" i="3" s="1"/>
  <c r="BT19" i="3" s="1"/>
  <c r="BT20" i="3" s="1"/>
  <c r="BT21" i="3" s="1"/>
  <c r="BT22" i="3" s="1"/>
  <c r="BT23" i="3" s="1"/>
  <c r="BT24" i="3" s="1"/>
  <c r="BT25" i="3" s="1"/>
  <c r="BT26" i="3" s="1"/>
  <c r="BT27" i="3" s="1"/>
  <c r="BT28" i="3" s="1"/>
  <c r="BT29" i="3" s="1"/>
  <c r="BT30" i="3" s="1"/>
  <c r="BT31" i="3" s="1"/>
  <c r="BT32" i="3" s="1"/>
  <c r="BT33" i="3" s="1"/>
  <c r="BT34" i="3" s="1"/>
  <c r="BT35" i="3" s="1"/>
  <c r="BT36" i="3" s="1"/>
  <c r="BI6" i="3"/>
  <c r="BH6" i="3"/>
  <c r="BG6" i="3"/>
  <c r="BE6" i="3"/>
  <c r="BD6" i="3"/>
  <c r="BD7" i="3" s="1"/>
  <c r="BD8" i="3" s="1"/>
  <c r="BD9" i="3" s="1"/>
  <c r="BD10" i="3" s="1"/>
  <c r="BD11" i="3" s="1"/>
  <c r="BD12" i="3" s="1"/>
  <c r="BD13" i="3" s="1"/>
  <c r="BD14" i="3" s="1"/>
  <c r="BD15" i="3" s="1"/>
  <c r="BD16" i="3" s="1"/>
  <c r="BD17" i="3" s="1"/>
  <c r="BD18" i="3" s="1"/>
  <c r="BD19" i="3" s="1"/>
  <c r="BD20" i="3" s="1"/>
  <c r="BD21" i="3" s="1"/>
  <c r="BD22" i="3" s="1"/>
  <c r="BD23" i="3" s="1"/>
  <c r="BD24" i="3" s="1"/>
  <c r="BD25" i="3" s="1"/>
  <c r="BD26" i="3" s="1"/>
  <c r="BD27" i="3" s="1"/>
  <c r="BD28" i="3" s="1"/>
  <c r="BD29" i="3" s="1"/>
  <c r="BD30" i="3" s="1"/>
  <c r="BD31" i="3" s="1"/>
  <c r="BD32" i="3" s="1"/>
  <c r="BD33" i="3" s="1"/>
  <c r="BD34" i="3" s="1"/>
  <c r="BD35" i="3" s="1"/>
  <c r="BD36" i="3" s="1"/>
  <c r="AE4" i="3"/>
  <c r="AD4" i="3"/>
  <c r="AC4" i="3"/>
  <c r="AB4" i="3"/>
  <c r="T4" i="3"/>
  <c r="S4" i="3"/>
  <c r="N20" i="3"/>
  <c r="AI4" i="3" s="1"/>
  <c r="N24" i="3"/>
  <c r="AM4" i="3" s="1"/>
  <c r="N27" i="3"/>
  <c r="AP4" i="3" s="1"/>
  <c r="N26" i="3"/>
  <c r="AO4" i="3" s="1"/>
  <c r="N25" i="3"/>
  <c r="AN4" i="3" s="1"/>
  <c r="N22" i="3"/>
  <c r="AK4" i="3" s="1"/>
  <c r="N23" i="3"/>
  <c r="AL4" i="3" s="1"/>
  <c r="N21" i="3"/>
  <c r="AJ4" i="3" s="1"/>
  <c r="M39" i="3"/>
  <c r="M37" i="3"/>
  <c r="M35" i="3"/>
  <c r="M33" i="3"/>
  <c r="M31" i="3"/>
  <c r="N29" i="3"/>
  <c r="N28" i="3" s="1"/>
  <c r="AQ4" i="3" s="1"/>
  <c r="M18" i="3"/>
  <c r="M19" i="3" s="1"/>
  <c r="M7" i="3"/>
  <c r="N3" i="3"/>
  <c r="R4" i="3" s="1"/>
  <c r="K3" i="3"/>
  <c r="K4" i="3" s="1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N2" i="3"/>
  <c r="Q4" i="3" s="1"/>
  <c r="AR4" i="3" l="1"/>
  <c r="M23" i="3"/>
  <c r="M24" i="3" s="1"/>
  <c r="M25" i="3" s="1"/>
  <c r="M26" i="3" s="1"/>
  <c r="M27" i="3" s="1"/>
  <c r="M28" i="3"/>
  <c r="M29" i="3" s="1"/>
  <c r="M20" i="3"/>
  <c r="M21" i="3" s="1"/>
  <c r="M22" i="3" s="1"/>
  <c r="G80" i="4" l="1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I105" i="2" l="1"/>
  <c r="I106" i="2"/>
  <c r="I107" i="2"/>
  <c r="I108" i="2"/>
  <c r="I109" i="2"/>
  <c r="I110" i="2"/>
  <c r="I111" i="2"/>
  <c r="I112" i="2"/>
  <c r="I113" i="2"/>
  <c r="I114" i="2"/>
  <c r="I56" i="2"/>
  <c r="I57" i="2"/>
  <c r="I58" i="2"/>
  <c r="I59" i="2"/>
  <c r="I60" i="2"/>
  <c r="I61" i="2"/>
  <c r="I62" i="2"/>
  <c r="I63" i="2"/>
  <c r="I64" i="2"/>
  <c r="I65" i="2"/>
  <c r="I56" i="4"/>
  <c r="I57" i="4"/>
  <c r="I58" i="4"/>
  <c r="I59" i="4"/>
  <c r="I60" i="4"/>
  <c r="I61" i="4"/>
  <c r="I62" i="4"/>
  <c r="I63" i="4"/>
  <c r="I64" i="4"/>
  <c r="I65" i="4"/>
  <c r="H56" i="2"/>
  <c r="H57" i="2"/>
  <c r="H58" i="2"/>
  <c r="H59" i="2"/>
  <c r="H60" i="2"/>
  <c r="H61" i="2"/>
  <c r="H62" i="2"/>
  <c r="H63" i="2"/>
  <c r="H64" i="2"/>
  <c r="H65" i="2"/>
  <c r="H81" i="2"/>
  <c r="L81" i="2" s="1"/>
  <c r="H82" i="2"/>
  <c r="L82" i="2" s="1"/>
  <c r="H83" i="2"/>
  <c r="L83" i="2" s="1"/>
  <c r="H84" i="2"/>
  <c r="L84" i="2" s="1"/>
  <c r="H85" i="2"/>
  <c r="L85" i="2" s="1"/>
  <c r="H86" i="2"/>
  <c r="L86" i="2" s="1"/>
  <c r="H87" i="2"/>
  <c r="L87" i="2" s="1"/>
  <c r="H88" i="2"/>
  <c r="L88" i="2" s="1"/>
  <c r="H89" i="2"/>
  <c r="L89" i="2" s="1"/>
  <c r="H90" i="2"/>
  <c r="L90" i="2" s="1"/>
  <c r="H91" i="2"/>
  <c r="L91" i="2" s="1"/>
  <c r="H92" i="2"/>
  <c r="L92" i="2" s="1"/>
  <c r="H93" i="2"/>
  <c r="L93" i="2" s="1"/>
  <c r="H94" i="2"/>
  <c r="L94" i="2" s="1"/>
  <c r="H95" i="2"/>
  <c r="L95" i="2" s="1"/>
  <c r="H96" i="2"/>
  <c r="L96" i="2" s="1"/>
  <c r="H97" i="2"/>
  <c r="L97" i="2" s="1"/>
  <c r="H98" i="2"/>
  <c r="L98" i="2" s="1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K40" i="1"/>
  <c r="CB19" i="3" s="1"/>
  <c r="J40" i="1"/>
  <c r="CA19" i="3" s="1"/>
  <c r="I40" i="1"/>
  <c r="BZ19" i="3" s="1"/>
  <c r="H40" i="1"/>
  <c r="BY19" i="3" s="1"/>
  <c r="J56" i="4"/>
  <c r="M56" i="4" s="1"/>
  <c r="J57" i="4"/>
  <c r="M57" i="4" s="1"/>
  <c r="J58" i="4"/>
  <c r="M58" i="4" s="1"/>
  <c r="J59" i="4"/>
  <c r="M59" i="4" s="1"/>
  <c r="J60" i="4"/>
  <c r="M60" i="4" s="1"/>
  <c r="J61" i="4"/>
  <c r="M61" i="4" s="1"/>
  <c r="J62" i="4"/>
  <c r="M62" i="4" s="1"/>
  <c r="J63" i="4"/>
  <c r="M63" i="4" s="1"/>
  <c r="J64" i="4"/>
  <c r="M64" i="4" s="1"/>
  <c r="J65" i="4"/>
  <c r="M65" i="4" s="1"/>
  <c r="M105" i="4"/>
  <c r="M106" i="4"/>
  <c r="M107" i="4"/>
  <c r="M108" i="4"/>
  <c r="M109" i="4"/>
  <c r="M110" i="4"/>
  <c r="M111" i="4"/>
  <c r="M112" i="4"/>
  <c r="M113" i="4"/>
  <c r="M114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95" i="2" l="1"/>
  <c r="K93" i="2"/>
  <c r="J97" i="2"/>
  <c r="J85" i="2"/>
  <c r="J83" i="2"/>
  <c r="J90" i="2"/>
  <c r="J88" i="2"/>
  <c r="J87" i="2"/>
  <c r="J89" i="2"/>
  <c r="K81" i="2"/>
  <c r="J92" i="2"/>
  <c r="J91" i="2"/>
  <c r="K89" i="2"/>
  <c r="K87" i="2"/>
  <c r="K98" i="2"/>
  <c r="K86" i="2"/>
  <c r="K91" i="2"/>
  <c r="K97" i="2"/>
  <c r="K85" i="2"/>
  <c r="K96" i="2"/>
  <c r="K84" i="2"/>
  <c r="K95" i="2"/>
  <c r="K83" i="2"/>
  <c r="K82" i="2"/>
  <c r="K94" i="2"/>
  <c r="J93" i="2"/>
  <c r="J81" i="2"/>
  <c r="J98" i="2"/>
  <c r="J86" i="2"/>
  <c r="K92" i="2"/>
  <c r="J96" i="2"/>
  <c r="J84" i="2"/>
  <c r="K90" i="2"/>
  <c r="J80" i="2"/>
  <c r="J94" i="2"/>
  <c r="J82" i="2"/>
  <c r="K88" i="2"/>
  <c r="K80" i="2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V27" i="5"/>
  <c r="V26" i="5"/>
  <c r="V28" i="5"/>
  <c r="V29" i="5"/>
  <c r="V30" i="5"/>
  <c r="V31" i="5"/>
  <c r="K26" i="5"/>
  <c r="M26" i="5" s="1"/>
  <c r="K27" i="5"/>
  <c r="M27" i="5" s="1"/>
  <c r="K28" i="5"/>
  <c r="M28" i="5" s="1"/>
  <c r="K29" i="5"/>
  <c r="M29" i="5" s="1"/>
  <c r="K30" i="5"/>
  <c r="M30" i="5" s="1"/>
  <c r="K31" i="5"/>
  <c r="M31" i="5" s="1"/>
  <c r="R26" i="5"/>
  <c r="R27" i="5"/>
  <c r="R28" i="5"/>
  <c r="R29" i="5"/>
  <c r="R30" i="5"/>
  <c r="R31" i="5"/>
  <c r="T27" i="7"/>
  <c r="R27" i="7" s="1"/>
  <c r="T28" i="7"/>
  <c r="O28" i="7" s="1"/>
  <c r="T29" i="7"/>
  <c r="R29" i="7" s="1"/>
  <c r="T30" i="7"/>
  <c r="Q30" i="7" s="1"/>
  <c r="T31" i="7"/>
  <c r="P31" i="7" s="1"/>
  <c r="T32" i="7"/>
  <c r="R32" i="7" s="1"/>
  <c r="T33" i="7"/>
  <c r="R33" i="7" s="1"/>
  <c r="T34" i="7"/>
  <c r="R34" i="7" s="1"/>
  <c r="T35" i="7"/>
  <c r="R35" i="7" s="1"/>
  <c r="T36" i="7"/>
  <c r="R36" i="7" s="1"/>
  <c r="T37" i="7"/>
  <c r="R37" i="7" s="1"/>
  <c r="X27" i="7"/>
  <c r="W27" i="7"/>
  <c r="W28" i="7"/>
  <c r="W29" i="7"/>
  <c r="W30" i="7"/>
  <c r="W31" i="7"/>
  <c r="W32" i="7"/>
  <c r="W33" i="7"/>
  <c r="W34" i="7"/>
  <c r="W35" i="7"/>
  <c r="W36" i="7"/>
  <c r="W37" i="7"/>
  <c r="X28" i="7"/>
  <c r="X29" i="7"/>
  <c r="X30" i="7"/>
  <c r="X31" i="7"/>
  <c r="X32" i="7"/>
  <c r="X33" i="7"/>
  <c r="X34" i="7"/>
  <c r="X35" i="7"/>
  <c r="X36" i="7"/>
  <c r="X37" i="7"/>
  <c r="Z4" i="6"/>
  <c r="Z5" i="6"/>
  <c r="Z6" i="6"/>
  <c r="Z7" i="6"/>
  <c r="Z8" i="6"/>
  <c r="Z9" i="6"/>
  <c r="Z10" i="6"/>
  <c r="Z11" i="6"/>
  <c r="Z12" i="6"/>
  <c r="U27" i="7" l="1"/>
  <c r="V27" i="7" s="1"/>
  <c r="J45" i="1" s="1"/>
  <c r="CA24" i="3" s="1"/>
  <c r="U28" i="7"/>
  <c r="V28" i="7" s="1"/>
  <c r="U29" i="7"/>
  <c r="V29" i="7" s="1"/>
  <c r="U30" i="7"/>
  <c r="V30" i="7" s="1"/>
  <c r="U31" i="7"/>
  <c r="V31" i="7" s="1"/>
  <c r="U32" i="7"/>
  <c r="V32" i="7" s="1"/>
  <c r="U37" i="7"/>
  <c r="V37" i="7" s="1"/>
  <c r="U33" i="7"/>
  <c r="V33" i="7" s="1"/>
  <c r="U36" i="7"/>
  <c r="V36" i="7" s="1"/>
  <c r="U34" i="7"/>
  <c r="V34" i="7" s="1"/>
  <c r="U35" i="7"/>
  <c r="V35" i="7" s="1"/>
  <c r="Q26" i="5"/>
  <c r="Q29" i="5"/>
  <c r="Q31" i="5"/>
  <c r="Q30" i="5"/>
  <c r="Q28" i="5"/>
  <c r="Q27" i="5"/>
  <c r="L26" i="5"/>
  <c r="L31" i="5"/>
  <c r="L30" i="5"/>
  <c r="L29" i="5"/>
  <c r="L28" i="5"/>
  <c r="L27" i="5"/>
  <c r="N26" i="5"/>
  <c r="N31" i="5"/>
  <c r="N30" i="5"/>
  <c r="N29" i="5"/>
  <c r="N28" i="5"/>
  <c r="N27" i="5"/>
  <c r="P26" i="5"/>
  <c r="P31" i="5"/>
  <c r="P30" i="5"/>
  <c r="P29" i="5"/>
  <c r="P28" i="5"/>
  <c r="P27" i="5"/>
  <c r="O31" i="5"/>
  <c r="O29" i="5"/>
  <c r="O28" i="5"/>
  <c r="O30" i="5"/>
  <c r="O27" i="5"/>
  <c r="O26" i="5"/>
  <c r="N27" i="7"/>
  <c r="O27" i="7"/>
  <c r="P27" i="7"/>
  <c r="Q27" i="7"/>
  <c r="S27" i="7"/>
  <c r="K47" i="1"/>
  <c r="CB26" i="3" s="1"/>
  <c r="K45" i="1"/>
  <c r="CB24" i="3" s="1"/>
  <c r="K46" i="1"/>
  <c r="CB25" i="3" s="1"/>
  <c r="I45" i="1"/>
  <c r="BZ24" i="3" s="1"/>
  <c r="I46" i="1"/>
  <c r="BZ25" i="3" s="1"/>
  <c r="I47" i="1"/>
  <c r="BZ26" i="3" s="1"/>
  <c r="S28" i="7"/>
  <c r="N31" i="7"/>
  <c r="S37" i="7"/>
  <c r="S36" i="7"/>
  <c r="S35" i="7"/>
  <c r="S34" i="7"/>
  <c r="S33" i="7"/>
  <c r="S32" i="7"/>
  <c r="S31" i="7"/>
  <c r="S30" i="7"/>
  <c r="S29" i="7"/>
  <c r="N36" i="7"/>
  <c r="N34" i="7"/>
  <c r="N30" i="7"/>
  <c r="N28" i="7"/>
  <c r="N37" i="7"/>
  <c r="N35" i="7"/>
  <c r="N33" i="7"/>
  <c r="N32" i="7"/>
  <c r="N29" i="7"/>
  <c r="Q34" i="7"/>
  <c r="P34" i="7"/>
  <c r="P36" i="7"/>
  <c r="P37" i="7"/>
  <c r="Q28" i="7"/>
  <c r="P35" i="7"/>
  <c r="O33" i="7"/>
  <c r="P33" i="7"/>
  <c r="R31" i="7"/>
  <c r="O32" i="7"/>
  <c r="P32" i="7"/>
  <c r="Q31" i="7"/>
  <c r="O31" i="7"/>
  <c r="Q35" i="7"/>
  <c r="P30" i="7"/>
  <c r="P29" i="7"/>
  <c r="Q33" i="7"/>
  <c r="P28" i="7"/>
  <c r="R30" i="7"/>
  <c r="Q29" i="7"/>
  <c r="O30" i="7"/>
  <c r="Q37" i="7"/>
  <c r="Q36" i="7"/>
  <c r="Q32" i="7"/>
  <c r="O37" i="7"/>
  <c r="R28" i="7"/>
  <c r="O36" i="7"/>
  <c r="O35" i="7"/>
  <c r="O34" i="7"/>
  <c r="O29" i="7"/>
  <c r="J47" i="1" l="1"/>
  <c r="CA26" i="3" s="1"/>
  <c r="H47" i="1"/>
  <c r="BY26" i="3" s="1"/>
  <c r="J46" i="1"/>
  <c r="CA25" i="3" s="1"/>
  <c r="H46" i="1"/>
  <c r="BY25" i="3" s="1"/>
  <c r="H45" i="1"/>
  <c r="BY24" i="3" s="1"/>
  <c r="J105" i="2"/>
  <c r="J106" i="2"/>
  <c r="J107" i="2"/>
  <c r="J108" i="2"/>
  <c r="J109" i="2"/>
  <c r="J110" i="2"/>
  <c r="J111" i="2"/>
  <c r="J112" i="2"/>
  <c r="J113" i="2"/>
  <c r="J114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Q39" i="5" l="1"/>
  <c r="P39" i="5" s="1"/>
  <c r="Q38" i="5"/>
  <c r="P38" i="5" s="1"/>
  <c r="Q37" i="5"/>
  <c r="P37" i="5" s="1"/>
  <c r="Q36" i="5"/>
  <c r="P36" i="5" s="1"/>
  <c r="S31" i="5"/>
  <c r="S30" i="5"/>
  <c r="S29" i="5"/>
  <c r="S28" i="5"/>
  <c r="S27" i="5"/>
  <c r="S26" i="5"/>
  <c r="T26" i="5" s="1"/>
  <c r="B129" i="4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20" i="4"/>
  <c r="B121" i="4" s="1"/>
  <c r="B122" i="4" s="1"/>
  <c r="H114" i="4"/>
  <c r="G114" i="4"/>
  <c r="D114" i="4"/>
  <c r="F114" i="4" s="1"/>
  <c r="H113" i="4"/>
  <c r="G113" i="4"/>
  <c r="D113" i="4"/>
  <c r="F113" i="4" s="1"/>
  <c r="H112" i="4"/>
  <c r="G112" i="4"/>
  <c r="D112" i="4"/>
  <c r="E112" i="4" s="1"/>
  <c r="H111" i="4"/>
  <c r="G111" i="4"/>
  <c r="D111" i="4"/>
  <c r="K111" i="4" s="1"/>
  <c r="H110" i="4"/>
  <c r="G110" i="4"/>
  <c r="D110" i="4"/>
  <c r="F110" i="4" s="1"/>
  <c r="H109" i="4"/>
  <c r="G109" i="4"/>
  <c r="D109" i="4"/>
  <c r="K109" i="4" s="1"/>
  <c r="H108" i="4"/>
  <c r="G108" i="4"/>
  <c r="D108" i="4"/>
  <c r="K108" i="4" s="1"/>
  <c r="H107" i="4"/>
  <c r="G107" i="4"/>
  <c r="D107" i="4"/>
  <c r="K107" i="4" s="1"/>
  <c r="H106" i="4"/>
  <c r="G106" i="4"/>
  <c r="D106" i="4"/>
  <c r="K106" i="4" s="1"/>
  <c r="H105" i="4"/>
  <c r="G105" i="4"/>
  <c r="D105" i="4"/>
  <c r="E105" i="4" s="1"/>
  <c r="B105" i="4"/>
  <c r="B106" i="4" s="1"/>
  <c r="B107" i="4" s="1"/>
  <c r="B108" i="4" s="1"/>
  <c r="B109" i="4" s="1"/>
  <c r="B110" i="4" s="1"/>
  <c r="B111" i="4" s="1"/>
  <c r="B112" i="4" s="1"/>
  <c r="B113" i="4" s="1"/>
  <c r="B114" i="4" s="1"/>
  <c r="N101" i="4"/>
  <c r="F98" i="4"/>
  <c r="E98" i="4"/>
  <c r="D98" i="4"/>
  <c r="C98" i="4" a="1"/>
  <c r="C98" i="4" s="1"/>
  <c r="F97" i="4"/>
  <c r="E97" i="4"/>
  <c r="D97" i="4"/>
  <c r="C97" i="4" a="1"/>
  <c r="C97" i="4" s="1"/>
  <c r="F96" i="4"/>
  <c r="E96" i="4"/>
  <c r="D96" i="4"/>
  <c r="C96" i="4" a="1"/>
  <c r="C96" i="4" s="1"/>
  <c r="F95" i="4"/>
  <c r="E95" i="4"/>
  <c r="D95" i="4"/>
  <c r="C95" i="4" a="1"/>
  <c r="C95" i="4" s="1"/>
  <c r="F94" i="4"/>
  <c r="E94" i="4"/>
  <c r="D94" i="4"/>
  <c r="C94" i="4" a="1"/>
  <c r="C94" i="4" s="1"/>
  <c r="F93" i="4"/>
  <c r="E93" i="4"/>
  <c r="D93" i="4"/>
  <c r="C93" i="4" a="1"/>
  <c r="C93" i="4" s="1"/>
  <c r="F92" i="4"/>
  <c r="E92" i="4"/>
  <c r="D92" i="4"/>
  <c r="C92" i="4" a="1"/>
  <c r="C92" i="4" s="1"/>
  <c r="F91" i="4"/>
  <c r="E91" i="4"/>
  <c r="D91" i="4"/>
  <c r="C91" i="4" a="1"/>
  <c r="C91" i="4" s="1"/>
  <c r="F90" i="4"/>
  <c r="E90" i="4"/>
  <c r="D90" i="4"/>
  <c r="C90" i="4" a="1"/>
  <c r="C90" i="4" s="1"/>
  <c r="F89" i="4"/>
  <c r="E89" i="4"/>
  <c r="D89" i="4"/>
  <c r="C89" i="4" a="1"/>
  <c r="C89" i="4" s="1"/>
  <c r="F88" i="4"/>
  <c r="E88" i="4"/>
  <c r="D88" i="4"/>
  <c r="C88" i="4" a="1"/>
  <c r="C88" i="4" s="1"/>
  <c r="F87" i="4"/>
  <c r="E87" i="4"/>
  <c r="D87" i="4"/>
  <c r="C87" i="4" a="1"/>
  <c r="C87" i="4" s="1"/>
  <c r="F86" i="4"/>
  <c r="E86" i="4"/>
  <c r="D86" i="4"/>
  <c r="C86" i="4" a="1"/>
  <c r="C86" i="4" s="1"/>
  <c r="F85" i="4"/>
  <c r="E85" i="4"/>
  <c r="D85" i="4"/>
  <c r="C85" i="4" a="1"/>
  <c r="C85" i="4" s="1"/>
  <c r="F84" i="4"/>
  <c r="E84" i="4"/>
  <c r="D84" i="4"/>
  <c r="C84" i="4" a="1"/>
  <c r="C84" i="4" s="1"/>
  <c r="F83" i="4"/>
  <c r="E83" i="4"/>
  <c r="D83" i="4"/>
  <c r="C83" i="4" a="1"/>
  <c r="C83" i="4" s="1"/>
  <c r="F82" i="4"/>
  <c r="E82" i="4"/>
  <c r="D82" i="4"/>
  <c r="C82" i="4" a="1"/>
  <c r="C82" i="4" s="1"/>
  <c r="F81" i="4"/>
  <c r="E81" i="4"/>
  <c r="D81" i="4"/>
  <c r="C81" i="4" a="1"/>
  <c r="C81" i="4" s="1"/>
  <c r="F80" i="4"/>
  <c r="E80" i="4"/>
  <c r="D80" i="4"/>
  <c r="C80" i="4" a="1"/>
  <c r="C80" i="4" s="1"/>
  <c r="B80" i="4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U77" i="4"/>
  <c r="M74" i="4"/>
  <c r="M116" i="4" s="1"/>
  <c r="N116" i="4" s="1"/>
  <c r="B71" i="4"/>
  <c r="B72" i="4" s="1"/>
  <c r="B73" i="4" s="1"/>
  <c r="L65" i="4"/>
  <c r="H65" i="4"/>
  <c r="G65" i="4"/>
  <c r="D65" i="4"/>
  <c r="K65" i="4" s="1"/>
  <c r="L64" i="4"/>
  <c r="H64" i="4"/>
  <c r="G64" i="4"/>
  <c r="D64" i="4"/>
  <c r="K64" i="4" s="1"/>
  <c r="L63" i="4"/>
  <c r="H63" i="4"/>
  <c r="G63" i="4"/>
  <c r="D63" i="4"/>
  <c r="K63" i="4" s="1"/>
  <c r="L62" i="4"/>
  <c r="H62" i="4"/>
  <c r="G62" i="4"/>
  <c r="D62" i="4"/>
  <c r="K62" i="4" s="1"/>
  <c r="L61" i="4"/>
  <c r="H61" i="4"/>
  <c r="G61" i="4"/>
  <c r="D61" i="4"/>
  <c r="F61" i="4" s="1"/>
  <c r="L60" i="4"/>
  <c r="H60" i="4"/>
  <c r="G60" i="4"/>
  <c r="D60" i="4"/>
  <c r="K60" i="4" s="1"/>
  <c r="L59" i="4"/>
  <c r="H59" i="4"/>
  <c r="G59" i="4"/>
  <c r="D59" i="4"/>
  <c r="F59" i="4" s="1"/>
  <c r="L58" i="4"/>
  <c r="H58" i="4"/>
  <c r="G58" i="4"/>
  <c r="D58" i="4"/>
  <c r="F58" i="4" s="1"/>
  <c r="L57" i="4"/>
  <c r="H57" i="4"/>
  <c r="G57" i="4"/>
  <c r="D57" i="4"/>
  <c r="E57" i="4" s="1"/>
  <c r="L56" i="4"/>
  <c r="H56" i="4"/>
  <c r="G56" i="4"/>
  <c r="D56" i="4"/>
  <c r="K56" i="4" s="1"/>
  <c r="B56" i="4"/>
  <c r="B57" i="4" s="1"/>
  <c r="B58" i="4" s="1"/>
  <c r="B59" i="4" s="1"/>
  <c r="B60" i="4" s="1"/>
  <c r="B61" i="4" s="1"/>
  <c r="B62" i="4" s="1"/>
  <c r="B63" i="4" s="1"/>
  <c r="B64" i="4" s="1"/>
  <c r="B65" i="4" s="1"/>
  <c r="T53" i="4"/>
  <c r="T77" i="4" s="1"/>
  <c r="T102" i="4" s="1"/>
  <c r="H49" i="4"/>
  <c r="K49" i="4" s="1"/>
  <c r="F49" i="4"/>
  <c r="E49" i="4"/>
  <c r="D49" i="4"/>
  <c r="C49" i="4"/>
  <c r="H48" i="4"/>
  <c r="K48" i="4" s="1"/>
  <c r="F48" i="4"/>
  <c r="E48" i="4"/>
  <c r="D48" i="4"/>
  <c r="C48" i="4"/>
  <c r="H47" i="4"/>
  <c r="K47" i="4" s="1"/>
  <c r="F47" i="4"/>
  <c r="E47" i="4"/>
  <c r="D47" i="4"/>
  <c r="C47" i="4"/>
  <c r="H46" i="4"/>
  <c r="K46" i="4" s="1"/>
  <c r="F46" i="4"/>
  <c r="E46" i="4"/>
  <c r="D46" i="4"/>
  <c r="C46" i="4"/>
  <c r="H45" i="4"/>
  <c r="K45" i="4" s="1"/>
  <c r="F45" i="4"/>
  <c r="E45" i="4"/>
  <c r="D45" i="4"/>
  <c r="C45" i="4"/>
  <c r="H44" i="4"/>
  <c r="K44" i="4" s="1"/>
  <c r="F44" i="4"/>
  <c r="E44" i="4"/>
  <c r="D44" i="4"/>
  <c r="C44" i="4"/>
  <c r="H43" i="4"/>
  <c r="K43" i="4" s="1"/>
  <c r="F43" i="4"/>
  <c r="E43" i="4"/>
  <c r="D43" i="4"/>
  <c r="C43" i="4"/>
  <c r="H42" i="4"/>
  <c r="K42" i="4" s="1"/>
  <c r="F42" i="4"/>
  <c r="E42" i="4"/>
  <c r="D42" i="4"/>
  <c r="C42" i="4"/>
  <c r="H41" i="4"/>
  <c r="K41" i="4" s="1"/>
  <c r="F41" i="4"/>
  <c r="E41" i="4"/>
  <c r="D41" i="4"/>
  <c r="C41" i="4"/>
  <c r="H40" i="4"/>
  <c r="K40" i="4" s="1"/>
  <c r="F40" i="4"/>
  <c r="E40" i="4"/>
  <c r="D40" i="4"/>
  <c r="C40" i="4"/>
  <c r="H39" i="4"/>
  <c r="K39" i="4" s="1"/>
  <c r="F39" i="4"/>
  <c r="E39" i="4"/>
  <c r="D39" i="4"/>
  <c r="C39" i="4"/>
  <c r="H38" i="4"/>
  <c r="K38" i="4" s="1"/>
  <c r="F38" i="4"/>
  <c r="E38" i="4"/>
  <c r="D38" i="4"/>
  <c r="C38" i="4"/>
  <c r="H37" i="4"/>
  <c r="K37" i="4" s="1"/>
  <c r="F37" i="4"/>
  <c r="E37" i="4"/>
  <c r="D37" i="4"/>
  <c r="C37" i="4"/>
  <c r="H36" i="4"/>
  <c r="K36" i="4" s="1"/>
  <c r="F36" i="4"/>
  <c r="E36" i="4"/>
  <c r="D36" i="4"/>
  <c r="C36" i="4"/>
  <c r="H35" i="4"/>
  <c r="K35" i="4" s="1"/>
  <c r="F35" i="4"/>
  <c r="E35" i="4"/>
  <c r="D35" i="4"/>
  <c r="C35" i="4"/>
  <c r="H34" i="4"/>
  <c r="K34" i="4" s="1"/>
  <c r="F34" i="4"/>
  <c r="E34" i="4"/>
  <c r="D34" i="4"/>
  <c r="C34" i="4"/>
  <c r="H33" i="4"/>
  <c r="K33" i="4" s="1"/>
  <c r="F33" i="4"/>
  <c r="E33" i="4"/>
  <c r="D33" i="4"/>
  <c r="C33" i="4"/>
  <c r="H32" i="4"/>
  <c r="K32" i="4" s="1"/>
  <c r="F32" i="4"/>
  <c r="E32" i="4"/>
  <c r="D32" i="4"/>
  <c r="C32" i="4"/>
  <c r="F31" i="4"/>
  <c r="E31" i="4"/>
  <c r="D31" i="4"/>
  <c r="C31" i="4"/>
  <c r="B31" i="4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U28" i="4"/>
  <c r="M25" i="4"/>
  <c r="B129" i="2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20" i="2"/>
  <c r="B121" i="2" s="1"/>
  <c r="B122" i="2" s="1"/>
  <c r="M114" i="2"/>
  <c r="L114" i="2"/>
  <c r="H114" i="2"/>
  <c r="G114" i="2"/>
  <c r="D114" i="2"/>
  <c r="K114" i="2" s="1"/>
  <c r="M113" i="2"/>
  <c r="L113" i="2"/>
  <c r="H113" i="2"/>
  <c r="G113" i="2"/>
  <c r="D113" i="2"/>
  <c r="M112" i="2"/>
  <c r="L112" i="2"/>
  <c r="H112" i="2"/>
  <c r="G112" i="2"/>
  <c r="D112" i="2"/>
  <c r="K112" i="2" s="1"/>
  <c r="M111" i="2"/>
  <c r="L111" i="2"/>
  <c r="H111" i="2"/>
  <c r="G111" i="2"/>
  <c r="D111" i="2"/>
  <c r="K111" i="2" s="1"/>
  <c r="M110" i="2"/>
  <c r="L110" i="2"/>
  <c r="H110" i="2"/>
  <c r="G110" i="2"/>
  <c r="D110" i="2"/>
  <c r="K110" i="2" s="1"/>
  <c r="M109" i="2"/>
  <c r="L109" i="2"/>
  <c r="H109" i="2"/>
  <c r="G109" i="2"/>
  <c r="D109" i="2"/>
  <c r="M108" i="2"/>
  <c r="L108" i="2"/>
  <c r="H108" i="2"/>
  <c r="G108" i="2"/>
  <c r="D108" i="2"/>
  <c r="M107" i="2"/>
  <c r="L107" i="2"/>
  <c r="H107" i="2"/>
  <c r="G107" i="2"/>
  <c r="D107" i="2"/>
  <c r="M106" i="2"/>
  <c r="L106" i="2"/>
  <c r="H106" i="2"/>
  <c r="G106" i="2"/>
  <c r="D106" i="2"/>
  <c r="M105" i="2"/>
  <c r="L105" i="2"/>
  <c r="H105" i="2"/>
  <c r="G105" i="2"/>
  <c r="D105" i="2"/>
  <c r="B105" i="2"/>
  <c r="B106" i="2" s="1"/>
  <c r="B107" i="2" s="1"/>
  <c r="B108" i="2" s="1"/>
  <c r="B109" i="2" s="1"/>
  <c r="B110" i="2" s="1"/>
  <c r="B111" i="2" s="1"/>
  <c r="B112" i="2" s="1"/>
  <c r="B113" i="2" s="1"/>
  <c r="B114" i="2" s="1"/>
  <c r="M98" i="2"/>
  <c r="E98" i="2"/>
  <c r="D98" i="2"/>
  <c r="C98" i="2"/>
  <c r="M97" i="2"/>
  <c r="E97" i="2"/>
  <c r="D97" i="2"/>
  <c r="C97" i="2"/>
  <c r="M96" i="2"/>
  <c r="E96" i="2"/>
  <c r="D96" i="2"/>
  <c r="C96" i="2"/>
  <c r="M95" i="2"/>
  <c r="E95" i="2"/>
  <c r="D95" i="2"/>
  <c r="C95" i="2"/>
  <c r="M94" i="2"/>
  <c r="E94" i="2"/>
  <c r="D94" i="2"/>
  <c r="C94" i="2"/>
  <c r="M93" i="2"/>
  <c r="E93" i="2"/>
  <c r="D93" i="2"/>
  <c r="C93" i="2"/>
  <c r="M92" i="2"/>
  <c r="E92" i="2"/>
  <c r="D92" i="2"/>
  <c r="C92" i="2"/>
  <c r="M91" i="2"/>
  <c r="E91" i="2"/>
  <c r="D91" i="2"/>
  <c r="C91" i="2"/>
  <c r="M90" i="2"/>
  <c r="E90" i="2"/>
  <c r="D90" i="2"/>
  <c r="C90" i="2"/>
  <c r="M89" i="2"/>
  <c r="E89" i="2"/>
  <c r="D89" i="2"/>
  <c r="C89" i="2"/>
  <c r="M88" i="2"/>
  <c r="E88" i="2"/>
  <c r="D88" i="2"/>
  <c r="C88" i="2"/>
  <c r="M87" i="2"/>
  <c r="E87" i="2"/>
  <c r="D87" i="2"/>
  <c r="C87" i="2"/>
  <c r="M86" i="2"/>
  <c r="E86" i="2"/>
  <c r="D86" i="2"/>
  <c r="C86" i="2"/>
  <c r="M85" i="2"/>
  <c r="E85" i="2"/>
  <c r="D85" i="2"/>
  <c r="C85" i="2"/>
  <c r="M84" i="2"/>
  <c r="E84" i="2"/>
  <c r="D84" i="2"/>
  <c r="C84" i="2"/>
  <c r="M83" i="2"/>
  <c r="E83" i="2"/>
  <c r="D83" i="2"/>
  <c r="C83" i="2"/>
  <c r="M82" i="2"/>
  <c r="E82" i="2"/>
  <c r="D82" i="2"/>
  <c r="C82" i="2"/>
  <c r="M81" i="2"/>
  <c r="E81" i="2"/>
  <c r="D81" i="2"/>
  <c r="C81" i="2"/>
  <c r="M80" i="2"/>
  <c r="E80" i="2"/>
  <c r="D80" i="2"/>
  <c r="C80" i="2"/>
  <c r="B80" i="2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U77" i="2"/>
  <c r="M74" i="2"/>
  <c r="M116" i="2" s="1"/>
  <c r="N116" i="2" s="1"/>
  <c r="B71" i="2"/>
  <c r="B72" i="2" s="1"/>
  <c r="B73" i="2" s="1"/>
  <c r="J65" i="2"/>
  <c r="M65" i="2" s="1"/>
  <c r="L65" i="2"/>
  <c r="G65" i="2"/>
  <c r="D65" i="2"/>
  <c r="K65" i="2" s="1"/>
  <c r="J64" i="2"/>
  <c r="M64" i="2" s="1"/>
  <c r="L64" i="2"/>
  <c r="G64" i="2"/>
  <c r="D64" i="2"/>
  <c r="F64" i="2" s="1"/>
  <c r="J63" i="2"/>
  <c r="M63" i="2" s="1"/>
  <c r="L63" i="2"/>
  <c r="G63" i="2"/>
  <c r="D63" i="2"/>
  <c r="E63" i="2" s="1"/>
  <c r="J62" i="2"/>
  <c r="M62" i="2" s="1"/>
  <c r="L62" i="2"/>
  <c r="G62" i="2"/>
  <c r="D62" i="2"/>
  <c r="K62" i="2" s="1"/>
  <c r="J61" i="2"/>
  <c r="M61" i="2" s="1"/>
  <c r="L61" i="2"/>
  <c r="G61" i="2"/>
  <c r="D61" i="2"/>
  <c r="K61" i="2" s="1"/>
  <c r="J60" i="2"/>
  <c r="M60" i="2" s="1"/>
  <c r="L60" i="2"/>
  <c r="G60" i="2"/>
  <c r="D60" i="2"/>
  <c r="F60" i="2" s="1"/>
  <c r="J59" i="2"/>
  <c r="M59" i="2" s="1"/>
  <c r="L59" i="2"/>
  <c r="G59" i="2"/>
  <c r="D59" i="2"/>
  <c r="F59" i="2" s="1"/>
  <c r="J58" i="2"/>
  <c r="M58" i="2" s="1"/>
  <c r="L58" i="2"/>
  <c r="G58" i="2"/>
  <c r="D58" i="2"/>
  <c r="K58" i="2" s="1"/>
  <c r="J57" i="2"/>
  <c r="M57" i="2" s="1"/>
  <c r="L57" i="2"/>
  <c r="G57" i="2"/>
  <c r="D57" i="2"/>
  <c r="J56" i="2"/>
  <c r="M56" i="2" s="1"/>
  <c r="L56" i="2"/>
  <c r="G56" i="2"/>
  <c r="D56" i="2"/>
  <c r="F56" i="2" s="1"/>
  <c r="B56" i="2"/>
  <c r="B57" i="2" s="1"/>
  <c r="B58" i="2" s="1"/>
  <c r="B59" i="2" s="1"/>
  <c r="B60" i="2" s="1"/>
  <c r="B61" i="2" s="1"/>
  <c r="B62" i="2" s="1"/>
  <c r="B63" i="2" s="1"/>
  <c r="B64" i="2" s="1"/>
  <c r="B65" i="2" s="1"/>
  <c r="I49" i="2"/>
  <c r="M49" i="2" s="1"/>
  <c r="H49" i="2"/>
  <c r="L49" i="2" s="1"/>
  <c r="F49" i="2"/>
  <c r="E49" i="2"/>
  <c r="D49" i="2"/>
  <c r="C49" i="2"/>
  <c r="I48" i="2"/>
  <c r="M48" i="2" s="1"/>
  <c r="H48" i="2"/>
  <c r="L48" i="2" s="1"/>
  <c r="F48" i="2"/>
  <c r="E48" i="2"/>
  <c r="D48" i="2"/>
  <c r="C48" i="2"/>
  <c r="I47" i="2"/>
  <c r="M47" i="2" s="1"/>
  <c r="H47" i="2"/>
  <c r="L47" i="2" s="1"/>
  <c r="F47" i="2"/>
  <c r="E47" i="2"/>
  <c r="D47" i="2"/>
  <c r="C47" i="2"/>
  <c r="I46" i="2"/>
  <c r="M46" i="2" s="1"/>
  <c r="H46" i="2"/>
  <c r="L46" i="2" s="1"/>
  <c r="F46" i="2"/>
  <c r="E46" i="2"/>
  <c r="D46" i="2"/>
  <c r="C46" i="2"/>
  <c r="I45" i="2"/>
  <c r="M45" i="2" s="1"/>
  <c r="H45" i="2"/>
  <c r="L45" i="2" s="1"/>
  <c r="F45" i="2"/>
  <c r="E45" i="2"/>
  <c r="D45" i="2"/>
  <c r="C45" i="2"/>
  <c r="I44" i="2"/>
  <c r="M44" i="2" s="1"/>
  <c r="H44" i="2"/>
  <c r="L44" i="2" s="1"/>
  <c r="F44" i="2"/>
  <c r="E44" i="2"/>
  <c r="D44" i="2"/>
  <c r="C44" i="2"/>
  <c r="I43" i="2"/>
  <c r="M43" i="2" s="1"/>
  <c r="H43" i="2"/>
  <c r="L43" i="2" s="1"/>
  <c r="F43" i="2"/>
  <c r="E43" i="2"/>
  <c r="D43" i="2"/>
  <c r="C43" i="2"/>
  <c r="I42" i="2"/>
  <c r="M42" i="2" s="1"/>
  <c r="H42" i="2"/>
  <c r="L42" i="2" s="1"/>
  <c r="F42" i="2"/>
  <c r="E42" i="2"/>
  <c r="D42" i="2"/>
  <c r="C42" i="2"/>
  <c r="I41" i="2"/>
  <c r="M41" i="2" s="1"/>
  <c r="H41" i="2"/>
  <c r="L41" i="2" s="1"/>
  <c r="F41" i="2"/>
  <c r="E41" i="2"/>
  <c r="D41" i="2"/>
  <c r="C41" i="2"/>
  <c r="I40" i="2"/>
  <c r="M40" i="2" s="1"/>
  <c r="H40" i="2"/>
  <c r="L40" i="2" s="1"/>
  <c r="F40" i="2"/>
  <c r="E40" i="2"/>
  <c r="D40" i="2"/>
  <c r="C40" i="2"/>
  <c r="I39" i="2"/>
  <c r="M39" i="2" s="1"/>
  <c r="H39" i="2"/>
  <c r="L39" i="2" s="1"/>
  <c r="F39" i="2"/>
  <c r="E39" i="2"/>
  <c r="D39" i="2"/>
  <c r="C39" i="2"/>
  <c r="I38" i="2"/>
  <c r="M38" i="2" s="1"/>
  <c r="H38" i="2"/>
  <c r="L38" i="2" s="1"/>
  <c r="F38" i="2"/>
  <c r="E38" i="2"/>
  <c r="D38" i="2"/>
  <c r="C38" i="2"/>
  <c r="I37" i="2"/>
  <c r="M37" i="2" s="1"/>
  <c r="H37" i="2"/>
  <c r="L37" i="2" s="1"/>
  <c r="F37" i="2"/>
  <c r="E37" i="2"/>
  <c r="D37" i="2"/>
  <c r="C37" i="2"/>
  <c r="I36" i="2"/>
  <c r="M36" i="2" s="1"/>
  <c r="H36" i="2"/>
  <c r="L36" i="2" s="1"/>
  <c r="F36" i="2"/>
  <c r="E36" i="2"/>
  <c r="D36" i="2"/>
  <c r="C36" i="2"/>
  <c r="I35" i="2"/>
  <c r="M35" i="2" s="1"/>
  <c r="H35" i="2"/>
  <c r="L35" i="2" s="1"/>
  <c r="F35" i="2"/>
  <c r="E35" i="2"/>
  <c r="D35" i="2"/>
  <c r="C35" i="2"/>
  <c r="I34" i="2"/>
  <c r="M34" i="2" s="1"/>
  <c r="H34" i="2"/>
  <c r="L34" i="2" s="1"/>
  <c r="F34" i="2"/>
  <c r="E34" i="2"/>
  <c r="D34" i="2"/>
  <c r="C34" i="2"/>
  <c r="I33" i="2"/>
  <c r="M33" i="2" s="1"/>
  <c r="H33" i="2"/>
  <c r="L33" i="2" s="1"/>
  <c r="F33" i="2"/>
  <c r="E33" i="2"/>
  <c r="D33" i="2"/>
  <c r="C33" i="2"/>
  <c r="I32" i="2"/>
  <c r="M32" i="2" s="1"/>
  <c r="H32" i="2"/>
  <c r="L32" i="2" s="1"/>
  <c r="F32" i="2"/>
  <c r="E32" i="2"/>
  <c r="D32" i="2"/>
  <c r="C32" i="2"/>
  <c r="I31" i="2"/>
  <c r="M31" i="2" s="1"/>
  <c r="H31" i="2"/>
  <c r="L31" i="2" s="1"/>
  <c r="F31" i="2"/>
  <c r="E31" i="2"/>
  <c r="D31" i="2"/>
  <c r="C31" i="2"/>
  <c r="B31" i="2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U28" i="2"/>
  <c r="M25" i="2"/>
  <c r="M67" i="2" s="1"/>
  <c r="N67" i="2" s="1"/>
  <c r="E20" i="17"/>
  <c r="D24" i="20"/>
  <c r="E20" i="20"/>
  <c r="K44" i="1"/>
  <c r="J44" i="1"/>
  <c r="I44" i="1"/>
  <c r="H44" i="1"/>
  <c r="BY23" i="3" s="1"/>
  <c r="K43" i="1"/>
  <c r="CB22" i="3" s="1"/>
  <c r="J43" i="1"/>
  <c r="CA22" i="3" s="1"/>
  <c r="I43" i="1"/>
  <c r="BZ22" i="3" s="1"/>
  <c r="H43" i="1"/>
  <c r="BY22" i="3" s="1"/>
  <c r="K42" i="1"/>
  <c r="CB21" i="3" s="1"/>
  <c r="J42" i="1"/>
  <c r="I42" i="1"/>
  <c r="BZ21" i="3" s="1"/>
  <c r="H42" i="1"/>
  <c r="K41" i="1"/>
  <c r="J41" i="1"/>
  <c r="CA20" i="3" s="1"/>
  <c r="I41" i="1"/>
  <c r="H41" i="1"/>
  <c r="BY20" i="3" s="1"/>
  <c r="U38" i="1"/>
  <c r="X38" i="1" s="1"/>
  <c r="U37" i="1"/>
  <c r="H37" i="1" s="1"/>
  <c r="U36" i="1"/>
  <c r="K36" i="1" s="1"/>
  <c r="U35" i="1"/>
  <c r="I35" i="1" s="1"/>
  <c r="U34" i="1"/>
  <c r="H34" i="1" s="1"/>
  <c r="U33" i="1"/>
  <c r="H33" i="1" s="1"/>
  <c r="U32" i="1"/>
  <c r="X32" i="1" s="1"/>
  <c r="J29" i="1"/>
  <c r="CA9" i="3" s="1"/>
  <c r="J28" i="1"/>
  <c r="CA8" i="3" s="1"/>
  <c r="K24" i="1"/>
  <c r="J24" i="1"/>
  <c r="D23" i="1"/>
  <c r="B21" i="5" s="1"/>
  <c r="L21" i="1"/>
  <c r="J21" i="1"/>
  <c r="O21" i="1" s="1"/>
  <c r="F21" i="1"/>
  <c r="D21" i="1"/>
  <c r="E18" i="1"/>
  <c r="AN16" i="1"/>
  <c r="F13" i="1"/>
  <c r="BS6" i="3" s="1"/>
  <c r="BS7" i="3" s="1"/>
  <c r="BS8" i="3" s="1"/>
  <c r="BS9" i="3" s="1"/>
  <c r="BS10" i="3" s="1"/>
  <c r="BS11" i="3" s="1"/>
  <c r="BS12" i="3" s="1"/>
  <c r="BS13" i="3" s="1"/>
  <c r="BS14" i="3" s="1"/>
  <c r="BS15" i="3" s="1"/>
  <c r="BS16" i="3" s="1"/>
  <c r="BS17" i="3" s="1"/>
  <c r="BS18" i="3" s="1"/>
  <c r="BS19" i="3" s="1"/>
  <c r="BS20" i="3" s="1"/>
  <c r="BS21" i="3" s="1"/>
  <c r="BS22" i="3" s="1"/>
  <c r="BS23" i="3" s="1"/>
  <c r="BS24" i="3" s="1"/>
  <c r="BS25" i="3" s="1"/>
  <c r="BS26" i="3" s="1"/>
  <c r="BS27" i="3" s="1"/>
  <c r="BS28" i="3" s="1"/>
  <c r="BS29" i="3" s="1"/>
  <c r="BS30" i="3" s="1"/>
  <c r="BS31" i="3" s="1"/>
  <c r="BS32" i="3" s="1"/>
  <c r="BS33" i="3" s="1"/>
  <c r="BS34" i="3" s="1"/>
  <c r="BS35" i="3" s="1"/>
  <c r="BS36" i="3" s="1"/>
  <c r="B13" i="1"/>
  <c r="BQ6" i="3" s="1"/>
  <c r="BQ7" i="3" s="1"/>
  <c r="BQ8" i="3" s="1"/>
  <c r="BQ9" i="3" s="1"/>
  <c r="BQ10" i="3" s="1"/>
  <c r="BQ11" i="3" s="1"/>
  <c r="BQ12" i="3" s="1"/>
  <c r="BQ13" i="3" s="1"/>
  <c r="BQ14" i="3" s="1"/>
  <c r="BQ15" i="3" s="1"/>
  <c r="BQ16" i="3" s="1"/>
  <c r="BQ17" i="3" s="1"/>
  <c r="BQ18" i="3" s="1"/>
  <c r="BQ19" i="3" s="1"/>
  <c r="BQ20" i="3" s="1"/>
  <c r="BQ21" i="3" s="1"/>
  <c r="BQ22" i="3" s="1"/>
  <c r="BQ23" i="3" s="1"/>
  <c r="BQ24" i="3" s="1"/>
  <c r="BQ25" i="3" s="1"/>
  <c r="BQ26" i="3" s="1"/>
  <c r="BQ27" i="3" s="1"/>
  <c r="BQ28" i="3" s="1"/>
  <c r="BQ29" i="3" s="1"/>
  <c r="BQ30" i="3" s="1"/>
  <c r="BQ31" i="3" s="1"/>
  <c r="BQ32" i="3" s="1"/>
  <c r="BQ33" i="3" s="1"/>
  <c r="BQ34" i="3" s="1"/>
  <c r="BQ35" i="3" s="1"/>
  <c r="BQ36" i="3" s="1"/>
  <c r="B8" i="1"/>
  <c r="BP6" i="3" s="1"/>
  <c r="BP7" i="3" s="1"/>
  <c r="BP8" i="3" s="1"/>
  <c r="BP9" i="3" s="1"/>
  <c r="BP10" i="3" s="1"/>
  <c r="BP11" i="3" s="1"/>
  <c r="BP12" i="3" s="1"/>
  <c r="BP13" i="3" s="1"/>
  <c r="BP14" i="3" s="1"/>
  <c r="BP15" i="3" s="1"/>
  <c r="BP16" i="3" s="1"/>
  <c r="BP17" i="3" s="1"/>
  <c r="BP18" i="3" s="1"/>
  <c r="BP19" i="3" s="1"/>
  <c r="BP20" i="3" s="1"/>
  <c r="BP21" i="3" s="1"/>
  <c r="BP22" i="3" s="1"/>
  <c r="BP23" i="3" s="1"/>
  <c r="BP24" i="3" s="1"/>
  <c r="BP25" i="3" s="1"/>
  <c r="BP26" i="3" s="1"/>
  <c r="BP27" i="3" s="1"/>
  <c r="BP28" i="3" s="1"/>
  <c r="BP29" i="3" s="1"/>
  <c r="BP30" i="3" s="1"/>
  <c r="BP31" i="3" s="1"/>
  <c r="BP32" i="3" s="1"/>
  <c r="BP33" i="3" s="1"/>
  <c r="BP34" i="3" s="1"/>
  <c r="BP35" i="3" s="1"/>
  <c r="BP36" i="3" s="1"/>
  <c r="L6" i="1"/>
  <c r="K6" i="1"/>
  <c r="J6" i="1"/>
  <c r="I6" i="1"/>
  <c r="H6" i="1"/>
  <c r="G6" i="1"/>
  <c r="F6" i="1"/>
  <c r="E6" i="1"/>
  <c r="D6" i="1"/>
  <c r="C6" i="1"/>
  <c r="B6" i="1"/>
  <c r="BO6" i="3" s="1"/>
  <c r="D21" i="16"/>
  <c r="D20" i="16"/>
  <c r="D17" i="16"/>
  <c r="D15" i="16" a="1"/>
  <c r="D15" i="16" s="1"/>
  <c r="I59" i="17" s="1" a="1"/>
  <c r="I59" i="17" s="1"/>
  <c r="CA36" i="3" s="1"/>
  <c r="D14" i="16"/>
  <c r="R7" i="16"/>
  <c r="Q7" i="16"/>
  <c r="O7" i="16"/>
  <c r="R6" i="16"/>
  <c r="N17" i="3" s="1"/>
  <c r="AF4" i="3" s="1"/>
  <c r="Q6" i="16"/>
  <c r="O6" i="16"/>
  <c r="N18" i="3" s="1"/>
  <c r="AG4" i="3" s="1"/>
  <c r="R5" i="16"/>
  <c r="Q5" i="16"/>
  <c r="P5" i="16"/>
  <c r="P6" i="16" s="1"/>
  <c r="O5" i="16"/>
  <c r="R4" i="16"/>
  <c r="Q4" i="16"/>
  <c r="P4" i="16"/>
  <c r="O4" i="16"/>
  <c r="I4" i="16"/>
  <c r="H4" i="16"/>
  <c r="F14" i="6"/>
  <c r="F13" i="6"/>
  <c r="F12" i="6"/>
  <c r="F7" i="6"/>
  <c r="N4" i="6"/>
  <c r="N5" i="6" s="1"/>
  <c r="N6" i="6" s="1"/>
  <c r="N7" i="6" s="1"/>
  <c r="N8" i="6" s="1"/>
  <c r="N9" i="6" s="1"/>
  <c r="N10" i="6" s="1"/>
  <c r="B79" i="3"/>
  <c r="B78" i="3"/>
  <c r="B74" i="3"/>
  <c r="B73" i="3"/>
  <c r="B72" i="3"/>
  <c r="B71" i="3"/>
  <c r="B70" i="3"/>
  <c r="I47" i="16"/>
  <c r="I46" i="16"/>
  <c r="E19" i="1" l="1"/>
  <c r="BR6" i="3"/>
  <c r="BR7" i="3" s="1"/>
  <c r="BR8" i="3" s="1"/>
  <c r="BR9" i="3" s="1"/>
  <c r="BR10" i="3" s="1"/>
  <c r="BR11" i="3" s="1"/>
  <c r="BR12" i="3" s="1"/>
  <c r="BR13" i="3" s="1"/>
  <c r="BR14" i="3" s="1"/>
  <c r="BR15" i="3" s="1"/>
  <c r="BR16" i="3" s="1"/>
  <c r="BR17" i="3" s="1"/>
  <c r="BR18" i="3" s="1"/>
  <c r="BR19" i="3" s="1"/>
  <c r="BR20" i="3" s="1"/>
  <c r="BR21" i="3" s="1"/>
  <c r="BR22" i="3" s="1"/>
  <c r="BR23" i="3" s="1"/>
  <c r="BR24" i="3" s="1"/>
  <c r="BR25" i="3" s="1"/>
  <c r="BR26" i="3" s="1"/>
  <c r="BR27" i="3" s="1"/>
  <c r="BR28" i="3" s="1"/>
  <c r="BR29" i="3" s="1"/>
  <c r="BR30" i="3" s="1"/>
  <c r="BR31" i="3" s="1"/>
  <c r="BR32" i="3" s="1"/>
  <c r="BR33" i="3" s="1"/>
  <c r="BR34" i="3" s="1"/>
  <c r="BR35" i="3" s="1"/>
  <c r="BR36" i="3" s="1"/>
  <c r="H35" i="20"/>
  <c r="BY13" i="3"/>
  <c r="K37" i="20"/>
  <c r="CB15" i="3"/>
  <c r="I42" i="20"/>
  <c r="BZ20" i="3"/>
  <c r="K42" i="20"/>
  <c r="CB20" i="3"/>
  <c r="I45" i="20"/>
  <c r="BZ23" i="3"/>
  <c r="K45" i="20"/>
  <c r="CB23" i="3"/>
  <c r="BO7" i="3"/>
  <c r="BN6" i="3"/>
  <c r="H34" i="20"/>
  <c r="BY12" i="3"/>
  <c r="I36" i="20"/>
  <c r="BZ14" i="3"/>
  <c r="H38" i="20"/>
  <c r="BY16" i="3"/>
  <c r="H43" i="20"/>
  <c r="BY21" i="3"/>
  <c r="J43" i="20"/>
  <c r="CA21" i="3"/>
  <c r="J45" i="20"/>
  <c r="CA23" i="3"/>
  <c r="P7" i="16"/>
  <c r="N19" i="3"/>
  <c r="AH4" i="3" s="1"/>
  <c r="H59" i="17" a="1"/>
  <c r="H59" i="17" s="1"/>
  <c r="I58" i="17" a="1"/>
  <c r="I58" i="17" s="1"/>
  <c r="CA35" i="3" s="1"/>
  <c r="H58" i="17" a="1"/>
  <c r="H58" i="17" s="1"/>
  <c r="L48" i="1"/>
  <c r="L49" i="1"/>
  <c r="H80" i="2"/>
  <c r="L80" i="2" s="1"/>
  <c r="I111" i="4"/>
  <c r="L111" i="4" s="1"/>
  <c r="I112" i="4"/>
  <c r="L112" i="4" s="1"/>
  <c r="I114" i="4"/>
  <c r="L114" i="4" s="1"/>
  <c r="I105" i="4"/>
  <c r="L105" i="4" s="1"/>
  <c r="I106" i="4"/>
  <c r="L106" i="4" s="1"/>
  <c r="I109" i="4"/>
  <c r="L109" i="4" s="1"/>
  <c r="I107" i="4"/>
  <c r="L107" i="4" s="1"/>
  <c r="I108" i="4"/>
  <c r="L108" i="4" s="1"/>
  <c r="I110" i="4"/>
  <c r="L110" i="4" s="1"/>
  <c r="I113" i="4"/>
  <c r="L113" i="4" s="1"/>
  <c r="H31" i="4"/>
  <c r="K31" i="4" s="1"/>
  <c r="J39" i="1" s="1"/>
  <c r="L28" i="1"/>
  <c r="CC8" i="3" s="1"/>
  <c r="I47" i="17"/>
  <c r="H46" i="17"/>
  <c r="H47" i="17"/>
  <c r="H45" i="17"/>
  <c r="I46" i="17"/>
  <c r="I45" i="17"/>
  <c r="F107" i="2"/>
  <c r="K107" i="2"/>
  <c r="E109" i="2"/>
  <c r="K109" i="2"/>
  <c r="F108" i="2"/>
  <c r="K108" i="2"/>
  <c r="E113" i="2"/>
  <c r="K113" i="2"/>
  <c r="D28" i="16"/>
  <c r="F105" i="2"/>
  <c r="H82" i="4"/>
  <c r="K82" i="4" s="1"/>
  <c r="H94" i="4"/>
  <c r="K94" i="4" s="1"/>
  <c r="H83" i="4"/>
  <c r="K83" i="4" s="1"/>
  <c r="H95" i="4"/>
  <c r="K95" i="4" s="1"/>
  <c r="H87" i="4"/>
  <c r="K87" i="4" s="1"/>
  <c r="H88" i="4"/>
  <c r="K88" i="4" s="1"/>
  <c r="H84" i="4"/>
  <c r="K84" i="4" s="1"/>
  <c r="H96" i="4"/>
  <c r="K96" i="4" s="1"/>
  <c r="H85" i="4"/>
  <c r="K85" i="4" s="1"/>
  <c r="H97" i="4"/>
  <c r="K97" i="4" s="1"/>
  <c r="H81" i="4"/>
  <c r="K81" i="4" s="1"/>
  <c r="H86" i="4"/>
  <c r="K86" i="4" s="1"/>
  <c r="H98" i="4"/>
  <c r="K98" i="4" s="1"/>
  <c r="H91" i="4"/>
  <c r="K91" i="4" s="1"/>
  <c r="H92" i="4"/>
  <c r="K92" i="4" s="1"/>
  <c r="H93" i="4"/>
  <c r="K93" i="4" s="1"/>
  <c r="H89" i="4"/>
  <c r="K89" i="4" s="1"/>
  <c r="H80" i="4"/>
  <c r="K80" i="4" s="1"/>
  <c r="H90" i="4"/>
  <c r="K90" i="4" s="1"/>
  <c r="L38" i="4"/>
  <c r="M124" i="4"/>
  <c r="N124" i="4" s="1"/>
  <c r="M37" i="4"/>
  <c r="M75" i="2"/>
  <c r="N75" i="2" s="1"/>
  <c r="U30" i="5"/>
  <c r="L95" i="4"/>
  <c r="L32" i="4"/>
  <c r="K32" i="1"/>
  <c r="F62" i="2"/>
  <c r="X35" i="1"/>
  <c r="L33" i="4"/>
  <c r="L98" i="4"/>
  <c r="M83" i="4"/>
  <c r="U28" i="5"/>
  <c r="T31" i="5"/>
  <c r="F109" i="2"/>
  <c r="M81" i="4"/>
  <c r="K46" i="20"/>
  <c r="J30" i="20"/>
  <c r="D19" i="16"/>
  <c r="J32" i="1"/>
  <c r="I37" i="1"/>
  <c r="J42" i="20"/>
  <c r="L41" i="4"/>
  <c r="M46" i="4"/>
  <c r="M89" i="4"/>
  <c r="T27" i="5"/>
  <c r="L26" i="1" s="1"/>
  <c r="CC6" i="3" s="1"/>
  <c r="E62" i="2"/>
  <c r="K63" i="2"/>
  <c r="L48" i="4"/>
  <c r="H35" i="1"/>
  <c r="E56" i="4"/>
  <c r="K35" i="1"/>
  <c r="M42" i="4"/>
  <c r="K110" i="4"/>
  <c r="W35" i="1"/>
  <c r="M34" i="4"/>
  <c r="L47" i="4"/>
  <c r="F111" i="4"/>
  <c r="U26" i="5"/>
  <c r="U29" i="5"/>
  <c r="E112" i="2"/>
  <c r="I46" i="20"/>
  <c r="U27" i="5"/>
  <c r="L43" i="4"/>
  <c r="F58" i="2"/>
  <c r="F112" i="2"/>
  <c r="F57" i="4"/>
  <c r="W32" i="1"/>
  <c r="K37" i="1"/>
  <c r="I47" i="20"/>
  <c r="N4" i="16"/>
  <c r="L37" i="4"/>
  <c r="K60" i="2"/>
  <c r="L34" i="4"/>
  <c r="L36" i="4"/>
  <c r="M45" i="4"/>
  <c r="E61" i="4"/>
  <c r="K57" i="4"/>
  <c r="F63" i="2"/>
  <c r="K64" i="2"/>
  <c r="L42" i="4"/>
  <c r="F56" i="4"/>
  <c r="E64" i="4"/>
  <c r="E110" i="4"/>
  <c r="E108" i="2"/>
  <c r="I48" i="20"/>
  <c r="F64" i="4"/>
  <c r="N7" i="16"/>
  <c r="H32" i="1"/>
  <c r="L87" i="4"/>
  <c r="T29" i="5"/>
  <c r="M43" i="4"/>
  <c r="M36" i="4"/>
  <c r="M88" i="4"/>
  <c r="M33" i="4"/>
  <c r="M49" i="4"/>
  <c r="M85" i="4"/>
  <c r="M93" i="4"/>
  <c r="M32" i="4"/>
  <c r="M38" i="4"/>
  <c r="M48" i="4"/>
  <c r="M84" i="4"/>
  <c r="M98" i="4"/>
  <c r="M40" i="4"/>
  <c r="L44" i="4"/>
  <c r="M80" i="4"/>
  <c r="M86" i="4"/>
  <c r="H39" i="1"/>
  <c r="BY18" i="3" s="1"/>
  <c r="J35" i="1"/>
  <c r="W37" i="1"/>
  <c r="H43" i="17"/>
  <c r="K38" i="2"/>
  <c r="K41" i="2"/>
  <c r="K44" i="2"/>
  <c r="K47" i="2"/>
  <c r="E58" i="2"/>
  <c r="M41" i="4"/>
  <c r="M47" i="4"/>
  <c r="L49" i="4"/>
  <c r="K58" i="4"/>
  <c r="M82" i="4"/>
  <c r="L86" i="4"/>
  <c r="M87" i="4"/>
  <c r="M90" i="4"/>
  <c r="M97" i="4"/>
  <c r="K114" i="4"/>
  <c r="X37" i="1"/>
  <c r="K59" i="2"/>
  <c r="K61" i="4"/>
  <c r="L84" i="4"/>
  <c r="L85" i="4"/>
  <c r="E59" i="2"/>
  <c r="X33" i="1"/>
  <c r="H38" i="1"/>
  <c r="K44" i="20"/>
  <c r="E106" i="2"/>
  <c r="K106" i="2" s="1"/>
  <c r="I33" i="1" s="1"/>
  <c r="E111" i="2"/>
  <c r="E65" i="4"/>
  <c r="E106" i="4"/>
  <c r="E108" i="4"/>
  <c r="E113" i="4"/>
  <c r="F113" i="2"/>
  <c r="X34" i="1"/>
  <c r="D24" i="17"/>
  <c r="E13" i="16"/>
  <c r="D13" i="16" s="1"/>
  <c r="I34" i="1"/>
  <c r="V35" i="1"/>
  <c r="I38" i="1"/>
  <c r="F106" i="2"/>
  <c r="E59" i="4"/>
  <c r="F65" i="4"/>
  <c r="M96" i="4"/>
  <c r="V34" i="1"/>
  <c r="J34" i="1"/>
  <c r="J38" i="1"/>
  <c r="K37" i="2"/>
  <c r="K40" i="2"/>
  <c r="K43" i="2"/>
  <c r="K46" i="2"/>
  <c r="K49" i="2"/>
  <c r="K34" i="1"/>
  <c r="CB13" i="3" s="1"/>
  <c r="K38" i="1"/>
  <c r="M31" i="4"/>
  <c r="M35" i="4"/>
  <c r="M39" i="4"/>
  <c r="M92" i="4"/>
  <c r="F105" i="4"/>
  <c r="U31" i="5"/>
  <c r="M44" i="4"/>
  <c r="M95" i="4"/>
  <c r="V38" i="1"/>
  <c r="O23" i="1"/>
  <c r="W34" i="1"/>
  <c r="J37" i="1"/>
  <c r="W38" i="1"/>
  <c r="K39" i="2"/>
  <c r="K42" i="2"/>
  <c r="K45" i="2"/>
  <c r="K48" i="2"/>
  <c r="L40" i="4"/>
  <c r="L46" i="4"/>
  <c r="K59" i="4"/>
  <c r="E109" i="4"/>
  <c r="E61" i="2"/>
  <c r="L83" i="4"/>
  <c r="L88" i="4"/>
  <c r="M91" i="4"/>
  <c r="F109" i="4"/>
  <c r="N6" i="16"/>
  <c r="P23" i="1"/>
  <c r="L31" i="4"/>
  <c r="L35" i="4"/>
  <c r="L39" i="4"/>
  <c r="L45" i="4"/>
  <c r="M94" i="4"/>
  <c r="J33" i="1"/>
  <c r="V37" i="1"/>
  <c r="I36" i="1"/>
  <c r="BZ15" i="3" s="1"/>
  <c r="H44" i="20"/>
  <c r="I43" i="20"/>
  <c r="N5" i="16"/>
  <c r="O15" i="1"/>
  <c r="J36" i="1"/>
  <c r="H36" i="1"/>
  <c r="W36" i="1"/>
  <c r="V36" i="1"/>
  <c r="P15" i="1"/>
  <c r="R17" i="1" s="1"/>
  <c r="P21" i="1"/>
  <c r="X36" i="1"/>
  <c r="I44" i="17"/>
  <c r="H44" i="17"/>
  <c r="I42" i="17"/>
  <c r="I41" i="17"/>
  <c r="H41" i="17"/>
  <c r="D16" i="16"/>
  <c r="F24" i="17" s="1"/>
  <c r="K33" i="1"/>
  <c r="CB12" i="3" s="1"/>
  <c r="W33" i="1"/>
  <c r="V33" i="1"/>
  <c r="N2" i="4"/>
  <c r="B2" i="5"/>
  <c r="B2" i="7"/>
  <c r="N2" i="2"/>
  <c r="J29" i="20"/>
  <c r="H42" i="17"/>
  <c r="I43" i="17"/>
  <c r="K43" i="20"/>
  <c r="K32" i="2"/>
  <c r="J32" i="2"/>
  <c r="K35" i="2"/>
  <c r="J35" i="2"/>
  <c r="I44" i="20"/>
  <c r="V32" i="1"/>
  <c r="J44" i="20"/>
  <c r="K31" i="2"/>
  <c r="J31" i="2"/>
  <c r="H28" i="1" s="1"/>
  <c r="K34" i="2"/>
  <c r="J34" i="2"/>
  <c r="H42" i="20"/>
  <c r="H45" i="20"/>
  <c r="F57" i="2"/>
  <c r="E57" i="2"/>
  <c r="K57" i="2"/>
  <c r="K33" i="2"/>
  <c r="J33" i="2"/>
  <c r="K36" i="2"/>
  <c r="J36" i="2"/>
  <c r="E65" i="2"/>
  <c r="E63" i="4"/>
  <c r="M100" i="4"/>
  <c r="N100" i="4" s="1"/>
  <c r="K105" i="4"/>
  <c r="E111" i="4"/>
  <c r="F112" i="4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E64" i="2"/>
  <c r="F65" i="2"/>
  <c r="E114" i="2"/>
  <c r="G117" i="2" s="1"/>
  <c r="E62" i="4"/>
  <c r="F63" i="4"/>
  <c r="M75" i="4"/>
  <c r="N75" i="4" s="1"/>
  <c r="L89" i="4"/>
  <c r="M26" i="2"/>
  <c r="N26" i="2" s="1"/>
  <c r="F114" i="2"/>
  <c r="M51" i="4"/>
  <c r="N51" i="4" s="1"/>
  <c r="F62" i="4"/>
  <c r="L90" i="4"/>
  <c r="K56" i="2"/>
  <c r="E60" i="4"/>
  <c r="L91" i="4"/>
  <c r="F60" i="4"/>
  <c r="L80" i="4"/>
  <c r="L92" i="4"/>
  <c r="E107" i="4"/>
  <c r="F108" i="4"/>
  <c r="K113" i="4"/>
  <c r="M51" i="2"/>
  <c r="N51" i="2" s="1"/>
  <c r="E60" i="2"/>
  <c r="F61" i="2"/>
  <c r="E110" i="2"/>
  <c r="F111" i="2"/>
  <c r="M124" i="2"/>
  <c r="N124" i="2" s="1"/>
  <c r="E58" i="4"/>
  <c r="L81" i="4"/>
  <c r="L93" i="4"/>
  <c r="F107" i="4"/>
  <c r="K112" i="4"/>
  <c r="M100" i="2"/>
  <c r="N100" i="2" s="1"/>
  <c r="F110" i="2"/>
  <c r="L82" i="4"/>
  <c r="L94" i="4"/>
  <c r="F106" i="4"/>
  <c r="M67" i="4"/>
  <c r="N67" i="4" s="1"/>
  <c r="E107" i="2"/>
  <c r="L96" i="4"/>
  <c r="E56" i="2"/>
  <c r="L97" i="4"/>
  <c r="E114" i="4"/>
  <c r="T28" i="5"/>
  <c r="T30" i="5"/>
  <c r="E105" i="2"/>
  <c r="K105" i="2" s="1"/>
  <c r="I32" i="1" s="1"/>
  <c r="M26" i="4"/>
  <c r="N26" i="4" s="1"/>
  <c r="H37" i="20" l="1"/>
  <c r="BY15" i="3"/>
  <c r="J34" i="20"/>
  <c r="CA12" i="3"/>
  <c r="J38" i="20"/>
  <c r="CA16" i="3"/>
  <c r="K39" i="20"/>
  <c r="CB17" i="3"/>
  <c r="J35" i="20"/>
  <c r="CA13" i="3"/>
  <c r="I39" i="20"/>
  <c r="BZ17" i="3"/>
  <c r="I35" i="20"/>
  <c r="BZ13" i="3"/>
  <c r="I34" i="20"/>
  <c r="BZ12" i="3"/>
  <c r="H39" i="20"/>
  <c r="BY17" i="3"/>
  <c r="K36" i="20"/>
  <c r="CB14" i="3"/>
  <c r="H36" i="20"/>
  <c r="BY14" i="3"/>
  <c r="J33" i="20"/>
  <c r="CA11" i="3"/>
  <c r="L49" i="20"/>
  <c r="CC27" i="3"/>
  <c r="I33" i="20"/>
  <c r="BZ11" i="3"/>
  <c r="H29" i="20"/>
  <c r="BY8" i="3"/>
  <c r="J37" i="20"/>
  <c r="CA15" i="3"/>
  <c r="J39" i="20"/>
  <c r="CA17" i="3"/>
  <c r="J36" i="20"/>
  <c r="CA14" i="3"/>
  <c r="H33" i="20"/>
  <c r="BY11" i="3"/>
  <c r="K38" i="20"/>
  <c r="CB16" i="3"/>
  <c r="I38" i="20"/>
  <c r="BZ16" i="3"/>
  <c r="K33" i="20"/>
  <c r="CB11" i="3"/>
  <c r="J40" i="20"/>
  <c r="CA18" i="3"/>
  <c r="L50" i="20"/>
  <c r="CC28" i="3"/>
  <c r="BY35" i="3"/>
  <c r="N36" i="3"/>
  <c r="AY4" i="3" s="1"/>
  <c r="BY36" i="3"/>
  <c r="N37" i="3"/>
  <c r="AZ4" i="3" s="1"/>
  <c r="BO8" i="3"/>
  <c r="BN7" i="3"/>
  <c r="K48" i="17"/>
  <c r="H35" i="17"/>
  <c r="L27" i="1"/>
  <c r="L29" i="1"/>
  <c r="CC9" i="3" s="1"/>
  <c r="H29" i="1"/>
  <c r="H117" i="2"/>
  <c r="I34" i="17"/>
  <c r="I36" i="17"/>
  <c r="D12" i="16"/>
  <c r="B1" i="7" s="1"/>
  <c r="I39" i="1"/>
  <c r="BZ18" i="3" s="1"/>
  <c r="K39" i="1"/>
  <c r="CB18" i="3" s="1"/>
  <c r="J41" i="20"/>
  <c r="H41" i="20"/>
  <c r="K28" i="1"/>
  <c r="K29" i="1"/>
  <c r="I28" i="1"/>
  <c r="I29" i="1"/>
  <c r="BZ9" i="3" s="1"/>
  <c r="I32" i="17"/>
  <c r="H32" i="17"/>
  <c r="I37" i="17"/>
  <c r="I35" i="17"/>
  <c r="H33" i="17"/>
  <c r="H38" i="17"/>
  <c r="H37" i="17"/>
  <c r="K35" i="20"/>
  <c r="I40" i="17"/>
  <c r="K41" i="20"/>
  <c r="K49" i="17"/>
  <c r="J46" i="20"/>
  <c r="K48" i="20"/>
  <c r="K47" i="20"/>
  <c r="J47" i="20"/>
  <c r="I41" i="20"/>
  <c r="H47" i="20"/>
  <c r="H46" i="20"/>
  <c r="K27" i="1"/>
  <c r="CB7" i="3" s="1"/>
  <c r="H34" i="17"/>
  <c r="J48" i="20"/>
  <c r="J31" i="1"/>
  <c r="CA10" i="3" s="1"/>
  <c r="H48" i="20"/>
  <c r="J32" i="20"/>
  <c r="H40" i="17"/>
  <c r="H40" i="20"/>
  <c r="J26" i="1"/>
  <c r="CA6" i="3" s="1"/>
  <c r="I26" i="1"/>
  <c r="BZ6" i="3" s="1"/>
  <c r="K58" i="17"/>
  <c r="I27" i="1"/>
  <c r="BZ7" i="3" s="1"/>
  <c r="K31" i="1"/>
  <c r="CB10" i="3" s="1"/>
  <c r="I38" i="17"/>
  <c r="K59" i="17"/>
  <c r="J27" i="1"/>
  <c r="CA7" i="3" s="1"/>
  <c r="H27" i="1"/>
  <c r="BY7" i="3" s="1"/>
  <c r="K26" i="1"/>
  <c r="CB6" i="3" s="1"/>
  <c r="K34" i="20"/>
  <c r="I33" i="17"/>
  <c r="P16" i="1"/>
  <c r="H32" i="20"/>
  <c r="H36" i="17"/>
  <c r="I37" i="20"/>
  <c r="O16" i="1"/>
  <c r="Q19" i="1" s="1"/>
  <c r="O19" i="1" s="1"/>
  <c r="H26" i="1"/>
  <c r="BY6" i="3" s="1"/>
  <c r="H31" i="1"/>
  <c r="BY10" i="3" s="1"/>
  <c r="I31" i="1"/>
  <c r="BZ10" i="3" s="1"/>
  <c r="Q17" i="1"/>
  <c r="H28" i="17" l="1"/>
  <c r="BZ8" i="3"/>
  <c r="I28" i="17"/>
  <c r="CB8" i="3"/>
  <c r="I29" i="17"/>
  <c r="CB9" i="3"/>
  <c r="H30" i="20"/>
  <c r="BY9" i="3"/>
  <c r="K27" i="17"/>
  <c r="CC7" i="3"/>
  <c r="BO9" i="3"/>
  <c r="BN8" i="3"/>
  <c r="I26" i="17"/>
  <c r="H29" i="17"/>
  <c r="H26" i="17"/>
  <c r="I27" i="17"/>
  <c r="H27" i="17"/>
  <c r="H31" i="17"/>
  <c r="I31" i="17"/>
  <c r="N1" i="4"/>
  <c r="B1" i="5"/>
  <c r="N1" i="2"/>
  <c r="I40" i="20"/>
  <c r="I39" i="17"/>
  <c r="K40" i="20"/>
  <c r="H39" i="17"/>
  <c r="K28" i="17"/>
  <c r="L29" i="20"/>
  <c r="K30" i="20"/>
  <c r="K29" i="20"/>
  <c r="I29" i="20"/>
  <c r="I30" i="20"/>
  <c r="K28" i="20"/>
  <c r="K29" i="17"/>
  <c r="L30" i="20"/>
  <c r="L28" i="20"/>
  <c r="Q18" i="1"/>
  <c r="O18" i="1" s="1"/>
  <c r="O17" i="1" s="1"/>
  <c r="J28" i="20"/>
  <c r="I28" i="20"/>
  <c r="J27" i="20"/>
  <c r="J51" i="1"/>
  <c r="CA30" i="3" s="1"/>
  <c r="I27" i="20"/>
  <c r="I51" i="1"/>
  <c r="BZ30" i="3" s="1"/>
  <c r="H28" i="20"/>
  <c r="I32" i="20"/>
  <c r="K32" i="20"/>
  <c r="L27" i="20"/>
  <c r="K26" i="17"/>
  <c r="L51" i="1"/>
  <c r="CC30" i="3" s="1"/>
  <c r="K27" i="20"/>
  <c r="K51" i="1"/>
  <c r="CB30" i="3" s="1"/>
  <c r="R19" i="1"/>
  <c r="P19" i="1" s="1"/>
  <c r="R18" i="1"/>
  <c r="P18" i="1" s="1"/>
  <c r="H27" i="20"/>
  <c r="H51" i="1"/>
  <c r="BY30" i="3" s="1"/>
  <c r="BO10" i="3" l="1"/>
  <c r="BN9" i="3"/>
  <c r="I51" i="17"/>
  <c r="N33" i="3" s="1"/>
  <c r="AV4" i="3" s="1"/>
  <c r="J52" i="20"/>
  <c r="J50" i="1"/>
  <c r="H51" i="17"/>
  <c r="I52" i="20"/>
  <c r="I50" i="1"/>
  <c r="L52" i="20"/>
  <c r="L55" i="1"/>
  <c r="CC34" i="3" s="1"/>
  <c r="L50" i="1"/>
  <c r="K55" i="17"/>
  <c r="N39" i="3" s="1"/>
  <c r="BB4" i="3" s="1"/>
  <c r="K51" i="17"/>
  <c r="N35" i="3" s="1"/>
  <c r="AX4" i="3" s="1"/>
  <c r="H50" i="1"/>
  <c r="BY29" i="3" s="1"/>
  <c r="H52" i="20"/>
  <c r="K50" i="1"/>
  <c r="K52" i="20"/>
  <c r="P17" i="1"/>
  <c r="O14" i="1"/>
  <c r="O13" i="1" s="1"/>
  <c r="K51" i="20" l="1"/>
  <c r="CB29" i="3"/>
  <c r="CH36" i="3"/>
  <c r="CH31" i="3"/>
  <c r="CH15" i="3"/>
  <c r="CH23" i="3"/>
  <c r="CH19" i="3"/>
  <c r="CH6" i="3"/>
  <c r="CH11" i="3"/>
  <c r="CH8" i="3"/>
  <c r="CH12" i="3"/>
  <c r="CH16" i="3"/>
  <c r="CH20" i="3"/>
  <c r="CH24" i="3"/>
  <c r="CH27" i="3"/>
  <c r="CH32" i="3"/>
  <c r="CH34" i="3"/>
  <c r="CH35" i="3"/>
  <c r="CH9" i="3"/>
  <c r="CH13" i="3"/>
  <c r="CH17" i="3"/>
  <c r="CH21" i="3"/>
  <c r="CH25" i="3"/>
  <c r="CH28" i="3"/>
  <c r="CH29" i="3"/>
  <c r="CH33" i="3"/>
  <c r="CH7" i="3"/>
  <c r="CH10" i="3"/>
  <c r="CH14" i="3"/>
  <c r="CH18" i="3"/>
  <c r="CH22" i="3"/>
  <c r="CH26" i="3"/>
  <c r="CH30" i="3"/>
  <c r="I51" i="20"/>
  <c r="BZ29" i="3"/>
  <c r="H50" i="17"/>
  <c r="N30" i="3" s="1"/>
  <c r="AS4" i="3" s="1"/>
  <c r="N31" i="3"/>
  <c r="AT4" i="3" s="1"/>
  <c r="L51" i="20"/>
  <c r="CC29" i="3"/>
  <c r="J51" i="20"/>
  <c r="CA29" i="3"/>
  <c r="BO11" i="3"/>
  <c r="BN10" i="3"/>
  <c r="I50" i="17"/>
  <c r="N32" i="3" s="1"/>
  <c r="AU4" i="3" s="1"/>
  <c r="K54" i="17"/>
  <c r="N38" i="3" s="1"/>
  <c r="BA4" i="3" s="1"/>
  <c r="K50" i="17"/>
  <c r="N34" i="3" s="1"/>
  <c r="AW4" i="3" s="1"/>
  <c r="H51" i="20"/>
  <c r="O24" i="1"/>
  <c r="L56" i="20"/>
  <c r="L54" i="1"/>
  <c r="P14" i="1"/>
  <c r="Q14" i="1" s="1"/>
  <c r="P13" i="1" s="1"/>
  <c r="BO12" i="3" l="1"/>
  <c r="BN11" i="3"/>
  <c r="L55" i="20"/>
  <c r="CC33" i="3"/>
  <c r="P24" i="1"/>
  <c r="P33" i="1" s="1"/>
  <c r="O12" i="1"/>
  <c r="CG29" i="3" l="1"/>
  <c r="CG35" i="3"/>
  <c r="CG27" i="3"/>
  <c r="CG20" i="3"/>
  <c r="CG12" i="3"/>
  <c r="CG24" i="3"/>
  <c r="CG33" i="3"/>
  <c r="CG7" i="3"/>
  <c r="CG28" i="3"/>
  <c r="CG36" i="3"/>
  <c r="CG8" i="3"/>
  <c r="CG11" i="3"/>
  <c r="CG15" i="3"/>
  <c r="CG19" i="3"/>
  <c r="CG23" i="3"/>
  <c r="CG31" i="3"/>
  <c r="CG16" i="3"/>
  <c r="CG32" i="3"/>
  <c r="CG34" i="3"/>
  <c r="CG9" i="3"/>
  <c r="CG13" i="3"/>
  <c r="CG17" i="3"/>
  <c r="CG21" i="3"/>
  <c r="CG25" i="3"/>
  <c r="CG10" i="3"/>
  <c r="CG14" i="3"/>
  <c r="CG18" i="3"/>
  <c r="CG22" i="3"/>
  <c r="CG26" i="3"/>
  <c r="CG30" i="3"/>
  <c r="CG6" i="3"/>
  <c r="BO13" i="3"/>
  <c r="BN12" i="3"/>
  <c r="Q33" i="1"/>
  <c r="H53" i="1" s="1"/>
  <c r="BY32" i="3" s="1"/>
  <c r="H52" i="1"/>
  <c r="BO14" i="3" l="1"/>
  <c r="BN13" i="3"/>
  <c r="H54" i="1"/>
  <c r="BY31" i="3"/>
  <c r="H52" i="17"/>
  <c r="H54" i="17" s="1"/>
  <c r="H53" i="20"/>
  <c r="R33" i="1"/>
  <c r="H55" i="1"/>
  <c r="H54" i="20"/>
  <c r="H53" i="17"/>
  <c r="H55" i="17" s="1"/>
  <c r="H56" i="20" l="1"/>
  <c r="BY34" i="3"/>
  <c r="H55" i="20"/>
  <c r="BY33" i="3"/>
  <c r="BO15" i="3"/>
  <c r="BN14" i="3"/>
  <c r="CD33" i="3" l="1"/>
  <c r="CD36" i="3"/>
  <c r="CD30" i="3"/>
  <c r="CD28" i="3"/>
  <c r="CD27" i="3"/>
  <c r="CD25" i="3"/>
  <c r="CD35" i="3"/>
  <c r="CD34" i="3"/>
  <c r="CD32" i="3"/>
  <c r="CD31" i="3"/>
  <c r="CD29" i="3"/>
  <c r="CD26" i="3"/>
  <c r="CD24" i="3"/>
  <c r="CD23" i="3"/>
  <c r="CD21" i="3"/>
  <c r="CD20" i="3"/>
  <c r="CD19" i="3"/>
  <c r="CD17" i="3"/>
  <c r="CD22" i="3"/>
  <c r="CD18" i="3"/>
  <c r="CD16" i="3"/>
  <c r="CD15" i="3"/>
  <c r="CD13" i="3"/>
  <c r="CD12" i="3"/>
  <c r="CD11" i="3"/>
  <c r="CD9" i="3"/>
  <c r="CD8" i="3"/>
  <c r="CD7" i="3"/>
  <c r="CD6" i="3"/>
  <c r="CD14" i="3"/>
  <c r="CD10" i="3"/>
  <c r="CE32" i="3"/>
  <c r="CE31" i="3"/>
  <c r="CE29" i="3"/>
  <c r="CE26" i="3"/>
  <c r="CE24" i="3"/>
  <c r="CE36" i="3"/>
  <c r="CE34" i="3"/>
  <c r="CE33" i="3"/>
  <c r="CE30" i="3"/>
  <c r="CE28" i="3"/>
  <c r="CE27" i="3"/>
  <c r="CE25" i="3"/>
  <c r="CE22" i="3"/>
  <c r="CE18" i="3"/>
  <c r="CE16" i="3"/>
  <c r="CE15" i="3"/>
  <c r="CE23" i="3"/>
  <c r="CE21" i="3"/>
  <c r="CE19" i="3"/>
  <c r="CE17" i="3"/>
  <c r="CE14" i="3"/>
  <c r="CE10" i="3"/>
  <c r="CE6" i="3"/>
  <c r="CE20" i="3"/>
  <c r="CE13" i="3"/>
  <c r="CE12" i="3"/>
  <c r="CE11" i="3"/>
  <c r="CE9" i="3"/>
  <c r="CE8" i="3"/>
  <c r="CE7" i="3"/>
  <c r="CE35" i="3"/>
  <c r="BN15" i="3"/>
  <c r="BO16" i="3"/>
  <c r="BN16" i="3" l="1"/>
  <c r="BO17" i="3"/>
  <c r="BO18" i="3" l="1"/>
  <c r="BN17" i="3"/>
  <c r="BO19" i="3" l="1"/>
  <c r="BN18" i="3"/>
  <c r="BO20" i="3" l="1"/>
  <c r="BN19" i="3"/>
  <c r="BN20" i="3" l="1"/>
  <c r="BO21" i="3"/>
  <c r="BO22" i="3" l="1"/>
  <c r="BN21" i="3"/>
  <c r="BN22" i="3" l="1"/>
  <c r="BO23" i="3"/>
  <c r="BO24" i="3" l="1"/>
  <c r="BN23" i="3"/>
  <c r="BN24" i="3" l="1"/>
  <c r="BO25" i="3"/>
  <c r="BN25" i="3" l="1"/>
  <c r="BO26" i="3"/>
  <c r="BN26" i="3" l="1"/>
  <c r="BO27" i="3"/>
  <c r="BN27" i="3" l="1"/>
  <c r="BO28" i="3"/>
  <c r="BO29" i="3" l="1"/>
  <c r="BN28" i="3"/>
  <c r="BN29" i="3" l="1"/>
  <c r="BO30" i="3"/>
  <c r="BO31" i="3" l="1"/>
  <c r="BN30" i="3"/>
  <c r="BN31" i="3" l="1"/>
  <c r="BO32" i="3"/>
  <c r="BO33" i="3" l="1"/>
  <c r="BN32" i="3"/>
  <c r="BO34" i="3" l="1"/>
  <c r="BN33" i="3"/>
  <c r="BO35" i="3" l="1"/>
  <c r="BN34" i="3"/>
  <c r="BO36" i="3" l="1"/>
  <c r="BN36" i="3" s="1"/>
  <c r="BN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Ridvan</author>
  </authors>
  <commentList>
    <comment ref="C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Периодично предаване на данни за:
- План за учебната година
- Отчет за Зимен семестър
- Отчет за Летен семестър
- Отчет за Септември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<sst xmlns="http://schemas.openxmlformats.org/spreadsheetml/2006/main" count="2658" uniqueCount="907">
  <si>
    <t>Индивидуалният план се представя с приложена подробна разбивка на заетостта!</t>
  </si>
  <si>
    <t>Бързи връзки:</t>
  </si>
  <si>
    <t>Начало</t>
  </si>
  <si>
    <t>Общо</t>
  </si>
  <si>
    <t>Общи положения</t>
  </si>
  <si>
    <t>/факултет/</t>
  </si>
  <si>
    <t>/катедра/</t>
  </si>
  <si>
    <t>И Н Д И В И Д У А Л Е Н     П Л А Н</t>
  </si>
  <si>
    <t>Ръководна длъжност:</t>
  </si>
  <si>
    <t>Аудиторна заетост</t>
  </si>
  <si>
    <t>Извънаудиторна заетост</t>
  </si>
  <si>
    <t>Аудиторна заетост:</t>
  </si>
  <si>
    <t>Запознат съм с общите условия.</t>
  </si>
  <si>
    <t>Прилагам подробна разбивка на заетостта си.</t>
  </si>
  <si>
    <t>Бр. студенти</t>
  </si>
  <si>
    <t>Коефициент на редукция</t>
  </si>
  <si>
    <t>Дисциплина</t>
  </si>
  <si>
    <t>Специалност</t>
  </si>
  <si>
    <t>Факултет</t>
  </si>
  <si>
    <t>Вид</t>
  </si>
  <si>
    <t>Курс</t>
  </si>
  <si>
    <t>Език</t>
  </si>
  <si>
    <t>Наименование на практика/курсова работа</t>
  </si>
  <si>
    <t>Ранг</t>
  </si>
  <si>
    <t>Акроним</t>
  </si>
  <si>
    <t>ФАКУЛТЕТ ПО МАТЕМАТИКА И ИНФОРМАТИКА</t>
  </si>
  <si>
    <t>ФМИ</t>
  </si>
  <si>
    <t>ФИЗИЧЕСКИ ФАКУЛТЕТ</t>
  </si>
  <si>
    <t>ФАКУЛТЕТ ПО ХИМИЯ И ФАРМАЦИЯ</t>
  </si>
  <si>
    <t>ФХФ</t>
  </si>
  <si>
    <t>БИОЛОГИЧЕСКИ ФАКУЛТЕТ</t>
  </si>
  <si>
    <t>БФ</t>
  </si>
  <si>
    <t>ФАКУЛТЕТ ПО КЛАСИЧЕСКИ И НОВИ ФИЛОЛОГИИ</t>
  </si>
  <si>
    <t>ФКНФ</t>
  </si>
  <si>
    <t>ФИЛОСОФСКИ ФАКУЛТЕТ</t>
  </si>
  <si>
    <t>ФФ</t>
  </si>
  <si>
    <t>БОГОСЛОВСКИ ФАКУЛТЕТ</t>
  </si>
  <si>
    <t>ФАКУЛТЕТ ПО СЛАВЯНСКИ ФИЛОЛОГИИ</t>
  </si>
  <si>
    <t>ФАКУЛТЕТ ПО ПЕДАГОГИКА</t>
  </si>
  <si>
    <t>ФП</t>
  </si>
  <si>
    <t>СТОПАНСКИ ФАКУЛТЕТ</t>
  </si>
  <si>
    <t>ФАКУЛТЕТ ПО ЖУРНАЛИСТИКА И МАСОВА КОМУНИКАЦИЯ</t>
  </si>
  <si>
    <t>ФЖМК</t>
  </si>
  <si>
    <t>ЮРИДИЧЕСКИ ФАКУЛТЕТ</t>
  </si>
  <si>
    <t>ЮФ</t>
  </si>
  <si>
    <t>МЕДИЦИНСКИ ФАКУЛТЕТ</t>
  </si>
  <si>
    <t>МФ</t>
  </si>
  <si>
    <t>ИСТОРИЧЕСКИ ФАКУЛТЕТ</t>
  </si>
  <si>
    <t>ИФ</t>
  </si>
  <si>
    <t>ГЕОЛОГО-ГЕОГРАФСКИ ФАКУЛТЕТ</t>
  </si>
  <si>
    <t>ГГФ</t>
  </si>
  <si>
    <t>ДЕПАРАМЕНТ ЗА ИНФОРМАЦИЯ И УСЪВЪРШЕНСТВАНЕ НА УЧИТЕЛИ</t>
  </si>
  <si>
    <t>ДИУУ</t>
  </si>
  <si>
    <t>ДЕПАРТАМЕНТ ЗА ЕЗИКОВО ОБУЧЕНИЕ</t>
  </si>
  <si>
    <t>ДЕО</t>
  </si>
  <si>
    <t>ЦСВП "ПРОФ. ИВАН ДУЙЧЕВ"</t>
  </si>
  <si>
    <t>ЦСВП</t>
  </si>
  <si>
    <t>Инд. уч. план / Еразъм</t>
  </si>
  <si>
    <t>Ръководна длъжност</t>
  </si>
  <si>
    <t>%</t>
  </si>
  <si>
    <t>Не</t>
  </si>
  <si>
    <t>Ректор</t>
  </si>
  <si>
    <t>Зам.-ректор</t>
  </si>
  <si>
    <t>Декан / Директор</t>
  </si>
  <si>
    <t>Зам.-декан / Зам.-директор</t>
  </si>
  <si>
    <t>Ръководител катедра</t>
  </si>
  <si>
    <t>Обучение - факултет</t>
  </si>
  <si>
    <t>ОКС "бакалавър"</t>
  </si>
  <si>
    <t>ОКС "магистър"</t>
  </si>
  <si>
    <t>ОНС "доктор"</t>
  </si>
  <si>
    <t>Заетост след отчет за зимен семестър - ОЗ/АЗ</t>
  </si>
  <si>
    <t>Заетост след отчет за летен семестър - ОЗ/АЗ</t>
  </si>
  <si>
    <t>Заетост след отчет септемврийска сесия - ОЗ/АЗ</t>
  </si>
  <si>
    <t>ОЗ:</t>
  </si>
  <si>
    <t>АЗ:</t>
  </si>
  <si>
    <t>Годишна заетост</t>
  </si>
  <si>
    <t>р.об.</t>
  </si>
  <si>
    <t>з.об.</t>
  </si>
  <si>
    <t>д.об.</t>
  </si>
  <si>
    <t>З</t>
  </si>
  <si>
    <t>И</t>
  </si>
  <si>
    <t>Ф</t>
  </si>
  <si>
    <t>ИП</t>
  </si>
  <si>
    <t>чужд</t>
  </si>
  <si>
    <t>БЕ</t>
  </si>
  <si>
    <t>Изпит</t>
  </si>
  <si>
    <t>ТО</t>
  </si>
  <si>
    <t>КИ</t>
  </si>
  <si>
    <t>титуляр</t>
  </si>
  <si>
    <t>прод.</t>
  </si>
  <si>
    <t>Форма на обучение</t>
  </si>
  <si>
    <t>Език на обучение</t>
  </si>
  <si>
    <t>Форма на оценяване</t>
  </si>
  <si>
    <t>Титуляр/асистент по дисциплина извън ФМИ</t>
  </si>
  <si>
    <t>Редукция часове малък брой студенти</t>
  </si>
  <si>
    <t>Коеф.</t>
  </si>
  <si>
    <t>Коеф. титуляр</t>
  </si>
  <si>
    <t>Курсова работа</t>
  </si>
  <si>
    <t>Дипломна работа</t>
  </si>
  <si>
    <t>ДИ/защита</t>
  </si>
  <si>
    <t>Коефициенти за приравняване към упр. и редукция</t>
  </si>
  <si>
    <t>Коефициент редукция 5 студента</t>
  </si>
  <si>
    <t>Коефициент редукция 4 студента</t>
  </si>
  <si>
    <t>Коефициент редукция 3 студента</t>
  </si>
  <si>
    <t>Коефициент редукция 2 студента</t>
  </si>
  <si>
    <t>Коефициент редукция 1 студент</t>
  </si>
  <si>
    <t>Рецензия</t>
  </si>
  <si>
    <t>Бр. докторанти</t>
  </si>
  <si>
    <t>3 и повече</t>
  </si>
  <si>
    <t xml:space="preserve">Изплатени часове </t>
  </si>
  <si>
    <t>Наднормена АЗ:</t>
  </si>
  <si>
    <t>Заетост
по МП:</t>
  </si>
  <si>
    <t>ИНСТРУКЦИЯ</t>
  </si>
  <si>
    <t>Инструкция</t>
  </si>
  <si>
    <t>Зимен семестър</t>
  </si>
  <si>
    <t>Летен семестър</t>
  </si>
  <si>
    <t>Обучение в поток</t>
  </si>
  <si>
    <t>Титулна страница</t>
  </si>
  <si>
    <t>При поява на червени полета, запознайте се с изискванията и попълнете необходимото на съответните места!</t>
  </si>
  <si>
    <t>Помощ</t>
  </si>
  <si>
    <t>Допълнително пояснение</t>
  </si>
  <si>
    <t>Дейност</t>
  </si>
  <si>
    <t>Участие в кандидат-докторантски изпит</t>
  </si>
  <si>
    <t>Научно ръководство, редовна форма на подготовка</t>
  </si>
  <si>
    <t>Научно ръководство, задочна форма на подготовка</t>
  </si>
  <si>
    <t>Редукция малък брой докторанти</t>
  </si>
  <si>
    <t>Изпит по учебен план, ОНС "доктор"</t>
  </si>
  <si>
    <t>Участие в кандидатдокторантски изпит, за кандидат-докторант</t>
  </si>
  <si>
    <t>Общи 
положения</t>
  </si>
  <si>
    <t>Контролна работа/Текущ контрол, р. и з.об.</t>
  </si>
  <si>
    <t>Контролна работа/Текущ контрол, д.об.</t>
  </si>
  <si>
    <t>Column1</t>
  </si>
  <si>
    <t>ОНС
"доктор"</t>
  </si>
  <si>
    <t>Дисциплина / Наименование на курс</t>
  </si>
  <si>
    <t>ОКС</t>
  </si>
  <si>
    <t>Специалност / Магистърска програма</t>
  </si>
  <si>
    <t>Семестър</t>
  </si>
  <si>
    <t>Подготовка на курс</t>
  </si>
  <si>
    <t>нов курс</t>
  </si>
  <si>
    <t>бакалавър</t>
  </si>
  <si>
    <t>магистър</t>
  </si>
  <si>
    <t>няколко</t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</si>
  <si>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</si>
  <si>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д.об.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</si>
  <si>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</si>
  <si>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д.об</t>
    </r>
    <r>
      <rPr>
        <sz val="11"/>
        <color theme="1"/>
        <rFont val="Calibri"/>
        <family val="2"/>
        <scheme val="minor"/>
      </rPr>
      <t>.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</si>
  <si>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р.об. и 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</si>
  <si>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д.об.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</si>
  <si>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t>Тази част от електронния формуляр е свързана с планиране подготовката (дизайна) на нов/актуализиран курс, както и планиране подготовката (дизайна) на електронни учебни ресурси за нов курс.</t>
  </si>
  <si>
    <t>зимен</t>
  </si>
  <si>
    <t>летен</t>
  </si>
  <si>
    <t>Подготовка курс</t>
  </si>
  <si>
    <t>ОКС
"магистър"</t>
  </si>
  <si>
    <t>Корекции в индивидуалните планове/отчети се правят само в рамките на факултетите до изпращането им в сектор „Учебен“.
Вече представен индивидуален план/отчет се коригира, чрез представяне на нов, изрядно попълнен и подписан от съответните лица формуляр.</t>
  </si>
  <si>
    <t>** При аудиторна заетост под утвърдения от АС норматив и при изпитани повече от 150 студенти, могат да бъдат отчетени като аудиторна заетост до 30 часа.</t>
  </si>
  <si>
    <t>При занятия, които изискват индивидуално обучение по учебен план поради спецификата на дисциплината (например музикален инструмент), не се прилага редукция.</t>
  </si>
  <si>
    <t>ОКС "бакалавър" и 
"магистър" след средно обр.</t>
  </si>
  <si>
    <t>Магистърска програма или слети четения</t>
  </si>
  <si>
    <t xml:space="preserve">Програма </t>
  </si>
  <si>
    <t>няма определена</t>
  </si>
  <si>
    <t>до 75% от норматива</t>
  </si>
  <si>
    <t>до 50% от норматива</t>
  </si>
  <si>
    <t>до 40 % от норматива</t>
  </si>
  <si>
    <t>до 25 % от норматива</t>
  </si>
  <si>
    <t>Допустима редукция по КТД:</t>
  </si>
  <si>
    <r>
      <rPr>
        <b/>
        <sz val="12"/>
        <color rgb="FFFF0000"/>
        <rFont val="Arial"/>
        <family val="2"/>
      </rPr>
      <t>Червените полета са задължителни!</t>
    </r>
    <r>
      <rPr>
        <b/>
        <sz val="12"/>
        <color theme="1"/>
        <rFont val="Arial"/>
        <family val="2"/>
      </rPr>
      <t xml:space="preserve">
</t>
    </r>
    <r>
      <rPr>
        <b/>
        <sz val="12"/>
        <color rgb="FFFF0000"/>
        <rFont val="Arial"/>
        <family val="2"/>
        <charset val="204"/>
      </rPr>
      <t>Заетостта за всяка от видовете практики се въвежда в клетките на съответния ред. Всички останали клетки се изчисляват автоматично на база на попълнените данни в следващите листи на електронния формуляр!</t>
    </r>
  </si>
  <si>
    <t>* При аудиторна заетост под утвърдения от АС норматив и при провеждане на практики по т.1 от извънаудиторната заетост, могат да бъдат отчетени като аудиторна заетост до 30 часа.</t>
  </si>
  <si>
    <t>Научно ръководство, р.об.</t>
  </si>
  <si>
    <t>Научно ръководство, з.об.</t>
  </si>
  <si>
    <t>Научно ръководство, самостоятелна п-ка</t>
  </si>
  <si>
    <t>актуализация</t>
  </si>
  <si>
    <t>Част 5 - актуализАция</t>
  </si>
  <si>
    <t>Част 5 - добавена провека за брой участници в екип</t>
  </si>
  <si>
    <t>В този вариант са направени следните корекции и подобрения:</t>
  </si>
  <si>
    <t>Подадени предложения, които не са отразени в този вариант:</t>
  </si>
  <si>
    <t>СПИСЪК КОРЕКЦИИ И ПРЕДЛОЖЕНИЯ ЗА КОРЕКЦИИ</t>
  </si>
  <si>
    <t>Част 1 План - контрол за максимален брой студенти
променен на 400</t>
  </si>
  <si>
    <t>Част 1 План - Формулата за ОБЩО Обща заетост и ОБЩО Аудиторна заетост</t>
  </si>
  <si>
    <t>Част 4. ОНС "доктор" - научно ръководство</t>
  </si>
  <si>
    <t>Да се обсъди дали да се добавят за ОНС "доктор":
- Разработване на нов докторантски курс, за всички форми  - за час по хорариум на учебната дисциплина 
- Актуализация на докторантски курс, за всички форми - за час по хорариум на учебната дисциплина</t>
  </si>
  <si>
    <t>Част 4. ОНС "доктор" - Променена инструкция за  научно ръководство - дейността се планира/отчита на годишна база</t>
  </si>
  <si>
    <t>асистиращ</t>
  </si>
  <si>
    <t>Част 2 и Част 3 - Посоченото в антетките Титуляр/Асистиращ съвпада със стойностите в падащото меню</t>
  </si>
  <si>
    <t>Коеф. асистиращ</t>
  </si>
  <si>
    <t>Коефициент за обучение на чужд език</t>
  </si>
  <si>
    <t>Коефициентът за обучение на чужд език е зададен при коефициентите -&gt; гъвкавост при промяна на стойността</t>
  </si>
  <si>
    <t>Само бели редове - избягват се проблеми при копиране на горен ред</t>
  </si>
  <si>
    <t>Упр.</t>
  </si>
  <si>
    <t>Лекции към упр.</t>
  </si>
  <si>
    <t>Част 5 - Корекция на текста, свързан с броя участници в екип.</t>
  </si>
  <si>
    <t>Проверка ФМИ и коеф. за изпитани 0,9 за дисциплини, завършващи с КИ</t>
  </si>
  <si>
    <t>Премахната формула за изписване на учебната година на титулната страница</t>
  </si>
  <si>
    <t>Коеф. Т/А ФМИ - за дисциплини с КИ</t>
  </si>
  <si>
    <t>Запознат съм с Вътрешните правила за работната заплата и последствията при неизпълнение на норматива заетост за отработеното време.</t>
  </si>
  <si>
    <t>Докторански курс</t>
  </si>
  <si>
    <t>Част 2 и Част 3 - Лекции по учебен план -&gt; Часове лекции-реален брой - Добре е да се обмисли максимално ясна формулировка - ДА</t>
  </si>
  <si>
    <t>При таблиците с практиките към част 2 и част 3 е посочена единствено таблица Учебни практики и курсови работи - ДА</t>
  </si>
  <si>
    <t>Инструкция ОНС "д-р"</t>
  </si>
  <si>
    <t>Добавен с-р за АЗ в ОНС "д-р"</t>
  </si>
  <si>
    <t>Титулна страница - добавен текст ВПРЗ</t>
  </si>
  <si>
    <t>Титулна стр. - добавено поле за ел.поща</t>
  </si>
  <si>
    <t>Подготовката (дизайна) на нов/актуализиран курс, както и на електронни учебни ресурси за нов курс се планират и отчитат в учебната година, от която промяната влиза в сила. 
Това изискване касае и подготовката (дизайна) на курсове и на електронни учебни ресурси, част от разработен нов учебен план.</t>
  </si>
  <si>
    <t>Дисциплина -&gt; Докторантски курс</t>
  </si>
  <si>
    <t>Възможност да се отчита част от ръководство на дипломна работа</t>
  </si>
  <si>
    <t>Част 2 и Част 3: Език на преподаване -&gt; Език на обучение</t>
  </si>
  <si>
    <t>Подготовка на курс/електронни учебни ресурси</t>
  </si>
  <si>
    <t>ФЧЕ</t>
  </si>
  <si>
    <t>Колоните за проверка и калкулации са заложени в началото</t>
  </si>
  <si>
    <t>Корекции ОНС "доктор"</t>
  </si>
  <si>
    <t>Докторантска програма</t>
  </si>
  <si>
    <t>Професионално направление</t>
  </si>
  <si>
    <t>БЕ е равнозначно на ФЧЕ</t>
  </si>
  <si>
    <t>Добавена опция за език ФЧЕ. Оправена формулировка.</t>
  </si>
  <si>
    <t>Опцията ФЧЕ е равностойна на БЕ. Предвид формата на титулната страница, ФЧЕ следва да се приравнява или към БЕ, или към ФЧЕ</t>
  </si>
  <si>
    <t>Шифър</t>
  </si>
  <si>
    <t>Теория и управление на образованието</t>
  </si>
  <si>
    <t>Педагогика</t>
  </si>
  <si>
    <t>Педагогика на обучението по...</t>
  </si>
  <si>
    <t>1.1.</t>
  </si>
  <si>
    <t>1.2.</t>
  </si>
  <si>
    <t>1.3.</t>
  </si>
  <si>
    <t>Филология</t>
  </si>
  <si>
    <t>История и археология</t>
  </si>
  <si>
    <t>Философия</t>
  </si>
  <si>
    <t>Религия и теология</t>
  </si>
  <si>
    <t>2.1.</t>
  </si>
  <si>
    <t>2.2.</t>
  </si>
  <si>
    <t>2.3.</t>
  </si>
  <si>
    <t>2.4.</t>
  </si>
  <si>
    <t>Социология, антропология и науки за културата</t>
  </si>
  <si>
    <t>Психология</t>
  </si>
  <si>
    <t>Политически науки</t>
  </si>
  <si>
    <t>Социални дейности</t>
  </si>
  <si>
    <t>Обществени комуникации и информационни науки</t>
  </si>
  <si>
    <t>Право</t>
  </si>
  <si>
    <t>Администрация и управление</t>
  </si>
  <si>
    <t>Икономика</t>
  </si>
  <si>
    <t>Туризъм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</si>
  <si>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</si>
  <si>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</si>
  <si>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</si>
  <si>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</si>
  <si>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</si>
  <si>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</si>
  <si>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</si>
  <si>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</si>
  <si>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</si>
  <si>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Физически науки</t>
  </si>
  <si>
    <t>Химически науки</t>
  </si>
  <si>
    <t>Биологически науки</t>
  </si>
  <si>
    <t>Науки за земята</t>
  </si>
  <si>
    <t>Математика</t>
  </si>
  <si>
    <t>Информатика и компютърни науки</t>
  </si>
  <si>
    <t>4.1.</t>
  </si>
  <si>
    <t>4.2.</t>
  </si>
  <si>
    <t>4.3.</t>
  </si>
  <si>
    <t>4.4.</t>
  </si>
  <si>
    <t>4.5.</t>
  </si>
  <si>
    <t>4.6.</t>
  </si>
  <si>
    <t>Комуникационна и компютърна техника</t>
  </si>
  <si>
    <t>Енергетика</t>
  </si>
  <si>
    <t>Транспорт, корабоплаване и авиация</t>
  </si>
  <si>
    <t>Материали и материалознание</t>
  </si>
  <si>
    <t>Архитектура, строителство и геодезия</t>
  </si>
  <si>
    <t>Проучване, добив и обработка на полезни изкопаеми</t>
  </si>
  <si>
    <t>Металургия</t>
  </si>
  <si>
    <t>Химични технологии</t>
  </si>
  <si>
    <t>Биотехнологии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</si>
  <si>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</si>
  <si>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</si>
  <si>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</si>
  <si>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</si>
  <si>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</si>
  <si>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</si>
  <si>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</si>
  <si>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</si>
  <si>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</si>
  <si>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Медицина</t>
  </si>
  <si>
    <t>Стоматология</t>
  </si>
  <si>
    <t>Фармация</t>
  </si>
  <si>
    <t>Обществено здраве</t>
  </si>
  <si>
    <t>Здравни грижи</t>
  </si>
  <si>
    <t>7.1.</t>
  </si>
  <si>
    <t>7.2.</t>
  </si>
  <si>
    <t>7.3.</t>
  </si>
  <si>
    <t>7.4.</t>
  </si>
  <si>
    <t>7.5.</t>
  </si>
  <si>
    <t>Изобразително изкуство</t>
  </si>
  <si>
    <t>Музикално и танцово изкуство</t>
  </si>
  <si>
    <t>8.2.</t>
  </si>
  <si>
    <t>8.3.</t>
  </si>
  <si>
    <t>Електротехника, електроника и автоматика</t>
  </si>
  <si>
    <t>5.2.</t>
  </si>
  <si>
    <t>Само за ОНС "доктор"</t>
  </si>
  <si>
    <t>Сложена проверка за зимен семестър в ОНС "доктор", ИО за зимен семестър. Да се има предвид и във формуляра за летен семестър.</t>
  </si>
  <si>
    <t>2018/2019</t>
  </si>
  <si>
    <t>Допълнителна забележка, основание за редукция по ВПРЗ или КТД</t>
  </si>
  <si>
    <t>СОФИЙСКИ УНИВЕРСИТЕТ   “СВЕТИ  КЛИМЕНТ  ОХРИДСКИ”</t>
  </si>
  <si>
    <t>ФАКУЛТЕТ ПО НАУКИ ЗА ОБРАЗОВАНИЕТО И ИЗКУСТВАТА</t>
  </si>
  <si>
    <t>ФНОИ</t>
  </si>
  <si>
    <t>Индивидуалният отчет се представя с приложена подробна разбивка на заетостта!</t>
  </si>
  <si>
    <t>СОФИЙСКИ   УНИВЕРСИТЕТ   “СВЕТИ   КЛИМЕНТ   ОХРИДСКИ”</t>
  </si>
  <si>
    <t>И Н Д И В И Д У А Л Е Н     О Т Ч Е Т</t>
  </si>
  <si>
    <t>1 студент</t>
  </si>
  <si>
    <t>1 докторант</t>
  </si>
  <si>
    <t>Реални часове аудиторна заетост по задължителни дисциплини за семестъра</t>
  </si>
  <si>
    <t>Реални часове аудиторна заетост за семестъра</t>
  </si>
  <si>
    <r>
      <rPr>
        <b/>
        <sz val="12"/>
        <color theme="1"/>
        <rFont val="Arial"/>
        <family val="2"/>
        <charset val="204"/>
      </rPr>
      <t>11.</t>
    </r>
    <r>
      <rPr>
        <sz val="12"/>
        <color theme="1"/>
        <rFont val="Arial"/>
        <family val="2"/>
        <charset val="204"/>
      </rPr>
      <t xml:space="preserve"> Изпити, ОНС "доктор"</t>
    </r>
  </si>
  <si>
    <r>
      <rPr>
        <b/>
        <sz val="12"/>
        <color theme="1"/>
        <rFont val="Arial"/>
        <family val="2"/>
        <charset val="204"/>
      </rPr>
      <t>10.</t>
    </r>
    <r>
      <rPr>
        <sz val="12"/>
        <color theme="1"/>
        <rFont val="Arial"/>
        <family val="2"/>
        <charset val="204"/>
      </rPr>
      <t xml:space="preserve"> Актуализация на курс</t>
    </r>
  </si>
  <si>
    <r>
      <rPr>
        <b/>
        <sz val="12"/>
        <color theme="1"/>
        <rFont val="Arial"/>
        <family val="2"/>
        <charset val="204"/>
      </rPr>
      <t>9.</t>
    </r>
    <r>
      <rPr>
        <sz val="12"/>
        <color theme="1"/>
        <rFont val="Arial"/>
        <family val="2"/>
        <charset val="204"/>
      </rPr>
      <t xml:space="preserve"> Подготовка (дизайн) на електронни учебни ресурси за нов курс</t>
    </r>
  </si>
  <si>
    <r>
      <rPr>
        <b/>
        <sz val="12"/>
        <color theme="1"/>
        <rFont val="Arial"/>
        <family val="2"/>
        <charset val="204"/>
      </rPr>
      <t>8.</t>
    </r>
    <r>
      <rPr>
        <sz val="12"/>
        <color theme="1"/>
        <rFont val="Arial"/>
        <family val="2"/>
        <charset val="204"/>
      </rPr>
      <t xml:space="preserve"> Подготовка (дизайн) на нов курс</t>
    </r>
  </si>
  <si>
    <r>
      <rPr>
        <b/>
        <sz val="12"/>
        <color theme="1"/>
        <rFont val="Arial"/>
        <family val="2"/>
        <charset val="204"/>
      </rPr>
      <t>3.</t>
    </r>
    <r>
      <rPr>
        <sz val="12"/>
        <color theme="1"/>
        <rFont val="Arial"/>
        <family val="2"/>
        <charset val="204"/>
      </rPr>
      <t xml:space="preserve"> Текущ контрол</t>
    </r>
  </si>
  <si>
    <t>Титуляр
Асистиращ</t>
  </si>
  <si>
    <t>Коефициент</t>
  </si>
  <si>
    <t>кЕзик</t>
  </si>
  <si>
    <t>кРедукция</t>
  </si>
  <si>
    <t>Проверка</t>
  </si>
  <si>
    <t>пВИД</t>
  </si>
  <si>
    <t>пСтуденти</t>
  </si>
  <si>
    <t>Упражнение</t>
  </si>
  <si>
    <t>Лекции към упражнение</t>
  </si>
  <si>
    <t>Титуляр</t>
  </si>
  <si>
    <t>Асистиращ</t>
  </si>
  <si>
    <t>Редукция 5 студента</t>
  </si>
  <si>
    <t>Редукция 4 студента</t>
  </si>
  <si>
    <t>Редукция 3 студента</t>
  </si>
  <si>
    <t>Редукция 2 студента</t>
  </si>
  <si>
    <t>Редукция 1 студент</t>
  </si>
  <si>
    <t>ЛЕТЕН СЕМЕСТЪР
ЛЯТНА СЕСИЯ</t>
  </si>
  <si>
    <t>ЛЕКЦИИ</t>
  </si>
  <si>
    <t>Изпитани</t>
  </si>
  <si>
    <t>Текущо оценени</t>
  </si>
  <si>
    <t>КР</t>
  </si>
  <si>
    <t>Изпитващ</t>
  </si>
  <si>
    <t>Лекции</t>
  </si>
  <si>
    <t>Брой</t>
  </si>
  <si>
    <t>кTO</t>
  </si>
  <si>
    <t>чTO</t>
  </si>
  <si>
    <t>пИзпитани</t>
  </si>
  <si>
    <t>Часове</t>
  </si>
  <si>
    <t>чУпражнение</t>
  </si>
  <si>
    <t>чЛекции</t>
  </si>
  <si>
    <t>Упражнения</t>
  </si>
  <si>
    <t>Обучение на чужд език</t>
  </si>
  <si>
    <t>Коефициент за обучение на български език</t>
  </si>
  <si>
    <t>Обучение на Български език</t>
  </si>
  <si>
    <t>Контролна работа, р.об.</t>
  </si>
  <si>
    <t>Контролна работа, з.об.</t>
  </si>
  <si>
    <t>Контролна работа, д.об.</t>
  </si>
  <si>
    <t>Текущ контрол, р.об.</t>
  </si>
  <si>
    <t>Текущ контрол, з.об.</t>
  </si>
  <si>
    <t>Текущ контрол, д.об.</t>
  </si>
  <si>
    <t>Научно ръководство, с. п-ка</t>
  </si>
  <si>
    <t>ЧЕ</t>
  </si>
  <si>
    <t>Ас.</t>
  </si>
  <si>
    <t>Тит.</t>
  </si>
  <si>
    <t>КР_З.О.</t>
  </si>
  <si>
    <t>КР_Р.О.</t>
  </si>
  <si>
    <t>КР_Д.О.</t>
  </si>
  <si>
    <t>ТК_Р.О.</t>
  </si>
  <si>
    <t>ТК_З.О.</t>
  </si>
  <si>
    <t>ТК_Д.О.</t>
  </si>
  <si>
    <t>ДР</t>
  </si>
  <si>
    <t>ДИЗ</t>
  </si>
  <si>
    <t>Р5С</t>
  </si>
  <si>
    <t>Р4С</t>
  </si>
  <si>
    <t>Р3С</t>
  </si>
  <si>
    <t>Р2С</t>
  </si>
  <si>
    <t>Р1С</t>
  </si>
  <si>
    <t>НР_Р.О.</t>
  </si>
  <si>
    <t>НР_З.О.</t>
  </si>
  <si>
    <t>НР_С.О.</t>
  </si>
  <si>
    <t>Доктор_Изпит</t>
  </si>
  <si>
    <t>УКДИ_КД</t>
  </si>
  <si>
    <t>РНовКурс_Р.О.</t>
  </si>
  <si>
    <t>РНовКурс_Д.О.</t>
  </si>
  <si>
    <t>РНовКурс_З.О.</t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</si>
  <si>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</si>
  <si>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на нов курс, </t>
    </r>
    <r>
      <rPr>
        <b/>
        <sz val="11"/>
        <color theme="1"/>
        <rFont val="Calibri"/>
        <family val="2"/>
        <scheme val="minor"/>
      </rPr>
      <t xml:space="preserve">р.об. </t>
    </r>
    <r>
      <rPr>
        <sz val="11"/>
        <color theme="1"/>
        <rFont val="Calibri"/>
        <family val="2"/>
        <scheme val="minor"/>
      </rPr>
      <t>- за час по хорариум на учебната дисциплина</t>
    </r>
  </si>
  <si>
    <t>РеУРНовКурс_Р.О.</t>
  </si>
  <si>
    <t>РеУРНовКурс_З.О.</t>
  </si>
  <si>
    <t>РеУРНовКурс_Д.О.</t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</si>
  <si>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р.об.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</si>
  <si>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Разработване ел. учебни ресурси към нов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</si>
  <si>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р.об.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</si>
  <si>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r>
      <t xml:space="preserve">Актуализация на курс, </t>
    </r>
    <r>
      <rPr>
        <b/>
        <sz val="11"/>
        <color theme="1"/>
        <rFont val="Calibri"/>
        <family val="2"/>
        <scheme val="minor"/>
      </rPr>
      <t>з.об.</t>
    </r>
    <r>
      <rPr>
        <sz val="11"/>
        <color theme="1"/>
        <rFont val="Calibri"/>
        <family val="2"/>
        <scheme val="minor"/>
      </rPr>
      <t xml:space="preserve"> - за час по хорариум на учебната дисциплина</t>
    </r>
  </si>
  <si>
    <t>АКурс_Р.О.</t>
  </si>
  <si>
    <t>АКурс_З.О.</t>
  </si>
  <si>
    <t>АКурс_Д.О.</t>
  </si>
  <si>
    <t>Докторант_2</t>
  </si>
  <si>
    <t>Докторант_1</t>
  </si>
  <si>
    <t>Докторант_0</t>
  </si>
  <si>
    <t>чИзпитани</t>
  </si>
  <si>
    <t>УПРАЖНЕНИЯ</t>
  </si>
  <si>
    <t>Курсови работи</t>
  </si>
  <si>
    <t>пФорма</t>
  </si>
  <si>
    <t>кИзпитващ</t>
  </si>
  <si>
    <t>р-ва дипломни работи</t>
  </si>
  <si>
    <t>Рецензии</t>
  </si>
  <si>
    <t>Изпитани ДИ/защита</t>
  </si>
  <si>
    <t>Брой студенти</t>
  </si>
  <si>
    <t>ПОТОК</t>
  </si>
  <si>
    <t>ГРУПА</t>
  </si>
  <si>
    <t>Докторанти</t>
  </si>
  <si>
    <t>чУпражнения</t>
  </si>
  <si>
    <t>A</t>
  </si>
  <si>
    <t>пОКС</t>
  </si>
  <si>
    <t>пДейност</t>
  </si>
  <si>
    <t>пЕкип</t>
  </si>
  <si>
    <t>кСеместър</t>
  </si>
  <si>
    <t>Код</t>
  </si>
  <si>
    <t>Зимен</t>
  </si>
  <si>
    <t>Летен</t>
  </si>
  <si>
    <t>ОБЩО аудиторна заетост:</t>
  </si>
  <si>
    <t>Учебна заетост:</t>
  </si>
  <si>
    <t>ОБЩО учебна заетост:</t>
  </si>
  <si>
    <t>Sp</t>
  </si>
  <si>
    <t>Total</t>
  </si>
  <si>
    <t>R1</t>
  </si>
  <si>
    <t>R2</t>
  </si>
  <si>
    <t>Stitle</t>
  </si>
  <si>
    <t>Магистърска програма</t>
  </si>
  <si>
    <t>пВид</t>
  </si>
  <si>
    <t>кСтуденти</t>
  </si>
  <si>
    <t>кСтудент</t>
  </si>
  <si>
    <t>HR3</t>
  </si>
  <si>
    <r>
      <rPr>
        <b/>
        <sz val="12"/>
        <color theme="1"/>
        <rFont val="Arial"/>
        <family val="2"/>
        <charset val="204"/>
      </rPr>
      <t>1.</t>
    </r>
    <r>
      <rPr>
        <sz val="12"/>
        <color theme="1"/>
        <rFont val="Arial"/>
        <family val="2"/>
        <charset val="204"/>
      </rPr>
      <t xml:space="preserve"> Лекции</t>
    </r>
  </si>
  <si>
    <r>
      <rPr>
        <b/>
        <sz val="12"/>
        <color theme="1"/>
        <rFont val="Arial"/>
        <family val="2"/>
        <charset val="204"/>
      </rPr>
      <t>2. </t>
    </r>
    <r>
      <rPr>
        <sz val="12"/>
        <color theme="1"/>
        <rFont val="Arial"/>
        <family val="2"/>
        <charset val="204"/>
      </rPr>
      <t>Упражнения</t>
    </r>
  </si>
  <si>
    <r>
      <rPr>
        <b/>
        <sz val="12"/>
        <color theme="1"/>
        <rFont val="Arial"/>
        <family val="2"/>
        <charset val="204"/>
      </rPr>
      <t>3. </t>
    </r>
    <r>
      <rPr>
        <sz val="12"/>
        <color theme="1"/>
        <rFont val="Arial"/>
        <family val="2"/>
        <charset val="204"/>
      </rPr>
      <t>Лекции на чужд език</t>
    </r>
  </si>
  <si>
    <r>
      <rPr>
        <b/>
        <sz val="12"/>
        <color theme="1"/>
        <rFont val="Arial"/>
        <family val="2"/>
        <charset val="204"/>
      </rPr>
      <t>4. </t>
    </r>
    <r>
      <rPr>
        <sz val="12"/>
        <color theme="1"/>
        <rFont val="Arial"/>
        <family val="2"/>
        <charset val="204"/>
      </rPr>
      <t>Упражнения на чужд език</t>
    </r>
  </si>
  <si>
    <t>1. Учебна и педагогическа практика *</t>
  </si>
  <si>
    <r>
      <rPr>
        <b/>
        <sz val="12"/>
        <color theme="1"/>
        <rFont val="Arial"/>
        <family val="2"/>
        <charset val="204"/>
      </rPr>
      <t>2.</t>
    </r>
    <r>
      <rPr>
        <sz val="12"/>
        <color theme="1"/>
        <rFont val="Arial"/>
        <family val="2"/>
        <charset val="204"/>
      </rPr>
      <t> Семестриални изпити **</t>
    </r>
  </si>
  <si>
    <r>
      <rPr>
        <b/>
        <sz val="12"/>
        <color theme="1"/>
        <rFont val="Arial"/>
        <family val="2"/>
        <charset val="204"/>
      </rPr>
      <t>4.</t>
    </r>
    <r>
      <rPr>
        <sz val="12"/>
        <color theme="1"/>
        <rFont val="Arial"/>
        <family val="2"/>
        <charset val="204"/>
      </rPr>
      <t xml:space="preserve"> Ръководство на курсова работа</t>
    </r>
  </si>
  <si>
    <r>
      <rPr>
        <b/>
        <sz val="12"/>
        <color theme="1"/>
        <rFont val="Arial"/>
        <family val="2"/>
        <charset val="204"/>
      </rPr>
      <t xml:space="preserve">5. </t>
    </r>
    <r>
      <rPr>
        <sz val="12"/>
        <color theme="1"/>
        <rFont val="Arial"/>
        <family val="2"/>
        <charset val="204"/>
      </rPr>
      <t>Ръководство на дипломна работа</t>
    </r>
  </si>
  <si>
    <r>
      <rPr>
        <b/>
        <sz val="12"/>
        <color theme="1"/>
        <rFont val="Arial"/>
        <family val="2"/>
        <charset val="204"/>
      </rPr>
      <t xml:space="preserve">6. </t>
    </r>
    <r>
      <rPr>
        <sz val="12"/>
        <color theme="1"/>
        <rFont val="Arial"/>
        <family val="2"/>
        <charset val="204"/>
      </rPr>
      <t>Рецензия на дипломна работа</t>
    </r>
  </si>
  <si>
    <r>
      <rPr>
        <b/>
        <sz val="12"/>
        <color theme="1"/>
        <rFont val="Arial"/>
        <family val="2"/>
        <charset val="204"/>
      </rPr>
      <t xml:space="preserve">7. </t>
    </r>
    <r>
      <rPr>
        <sz val="12"/>
        <color theme="1"/>
        <rFont val="Arial"/>
        <family val="2"/>
        <charset val="204"/>
      </rPr>
      <t>Участие в държавен изпит/защита</t>
    </r>
  </si>
  <si>
    <r>
      <rPr>
        <b/>
        <sz val="12"/>
        <color theme="1"/>
        <rFont val="Arial"/>
        <family val="2"/>
        <charset val="204"/>
      </rPr>
      <t xml:space="preserve">12. </t>
    </r>
    <r>
      <rPr>
        <sz val="12"/>
        <color theme="1"/>
        <rFont val="Arial"/>
        <family val="2"/>
        <charset val="204"/>
      </rPr>
      <t>Научно ръководство, ОНС "доктор"</t>
    </r>
  </si>
  <si>
    <t>Учебна година:</t>
  </si>
  <si>
    <t>І. ОКС "бакалавър" и ОКС "магистър"</t>
  </si>
  <si>
    <t>ІІ. ОНС "доктор"</t>
  </si>
  <si>
    <t>Семестър:</t>
  </si>
  <si>
    <t>Септември</t>
  </si>
  <si>
    <t>Учебни години</t>
  </si>
  <si>
    <t>2019/2020</t>
  </si>
  <si>
    <t>План</t>
  </si>
  <si>
    <t>Катедра</t>
  </si>
  <si>
    <t>Преподавател</t>
  </si>
  <si>
    <t>Факултет/Катедра/Преподавател</t>
  </si>
  <si>
    <t>ОКС "бакалавър" - Зимен, Летен</t>
  </si>
  <si>
    <t>ОКС "магистър" - Зимен, Летен</t>
  </si>
  <si>
    <t>ОНС "доктор" - Зимен, Летен</t>
  </si>
  <si>
    <t>Подготовка на курс - Зимен, Летен</t>
  </si>
  <si>
    <t>ОКС "бакалавър" - Зимен</t>
  </si>
  <si>
    <t>ОКС "магистър" - Зимен</t>
  </si>
  <si>
    <t>ОНС "доктор" - Зимен</t>
  </si>
  <si>
    <t>Подготовка на курс - Зимен</t>
  </si>
  <si>
    <t>ОКС "бакалавър" -Летен</t>
  </si>
  <si>
    <t>ОКС "магистър" -Летен</t>
  </si>
  <si>
    <t>ОНС "доктор" -Летен</t>
  </si>
  <si>
    <t>Подготовка на курс -Летен</t>
  </si>
  <si>
    <t>nЗименЛетен</t>
  </si>
  <si>
    <t>Семестър за план и отчет</t>
  </si>
  <si>
    <t>nЗимен</t>
  </si>
  <si>
    <t>nЛетен</t>
  </si>
  <si>
    <t>Семестър №</t>
  </si>
  <si>
    <t>Зимен Летен Текст</t>
  </si>
  <si>
    <t>ЗИМЕН СЕМЕСТЪР
ЗИМНА СЕСИЯ</t>
  </si>
  <si>
    <t>T_УчебнаГодина</t>
  </si>
  <si>
    <t>Специалност/Магистърска програма</t>
  </si>
  <si>
    <t>Дисциплина/Наименование на курс</t>
  </si>
  <si>
    <t>Брой
участници  в екип</t>
  </si>
  <si>
    <t>ПЛАН</t>
  </si>
  <si>
    <t>Магистърска програма
 или слети четения</t>
  </si>
  <si>
    <t>Специалност
 или слети четения</t>
  </si>
  <si>
    <t>Форма на
оценяване</t>
  </si>
  <si>
    <t>(Не приравнявайте към часове упражнения! Не прилагайте коефициенти за по-малък брой студенти!)</t>
  </si>
  <si>
    <t xml:space="preserve"> (В случай на слети четения или четения в поток, посочете дисциплината и опишете включените групи/специалности/магистърски програми.)</t>
  </si>
  <si>
    <t>subStitle</t>
  </si>
  <si>
    <r>
      <rPr>
        <sz val="12"/>
        <color rgb="FFFF0000"/>
        <rFont val="Arial Narrow"/>
        <family val="2"/>
        <charset val="204"/>
      </rPr>
      <t xml:space="preserve">(Не приравнявайте към часове упражнения! Не прилагайте коефициенти за по-малък брой студенти!)    </t>
    </r>
    <r>
      <rPr>
        <sz val="12"/>
        <color theme="1"/>
        <rFont val="Arial Narrow"/>
        <family val="2"/>
        <charset val="204"/>
      </rPr>
      <t xml:space="preserve">    </t>
    </r>
  </si>
  <si>
    <t>(В случай на слети четения или четения в поток, посочете дисциплината и опишете включените групи/специалности/магистърски програми.)</t>
  </si>
  <si>
    <t>Курсови
работи</t>
  </si>
  <si>
    <r>
      <rPr>
        <b/>
        <sz val="12"/>
        <rFont val="Arial Narrow"/>
        <family val="2"/>
        <charset val="204"/>
      </rPr>
      <t>Дисциплина</t>
    </r>
    <r>
      <rPr>
        <sz val="12"/>
        <rFont val="Arial Narrow"/>
        <family val="2"/>
        <charset val="204"/>
      </rPr>
      <t xml:space="preserve"> - Попълнете наименованието на преподаваната от Вас дисциплина. При необходимост, може да добавите допълнително пояснение (Пр.: на английски език, по инд. план и др.)</t>
    </r>
  </si>
  <si>
    <r>
      <rPr>
        <b/>
        <sz val="12"/>
        <color rgb="FFFF0000"/>
        <rFont val="Arial Narrow"/>
        <family val="2"/>
      </rPr>
      <t xml:space="preserve">Възложени часове ЛЕКЦИИ и Възложени часове УПР. </t>
    </r>
    <r>
      <rPr>
        <sz val="12"/>
        <color rgb="FFFF0000"/>
        <rFont val="Arial Narrow"/>
        <family val="2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</si>
  <si>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</rPr>
      <t xml:space="preserve">Език </t>
    </r>
    <r>
      <rPr>
        <sz val="12"/>
        <color theme="1"/>
        <rFont val="Arial Narrow"/>
        <family val="2"/>
      </rPr>
      <t>(</t>
    </r>
    <r>
      <rPr>
        <b/>
        <sz val="12"/>
        <color theme="1"/>
        <rFont val="Arial Narrow"/>
        <family val="2"/>
      </rPr>
      <t>БЕ</t>
    </r>
    <r>
      <rPr>
        <sz val="12"/>
        <color theme="1"/>
        <rFont val="Arial Narrow"/>
        <family val="2"/>
      </rPr>
      <t xml:space="preserve"> - български език,  </t>
    </r>
    <r>
      <rPr>
        <b/>
        <sz val="12"/>
        <color theme="1"/>
        <rFont val="Arial Narrow"/>
        <family val="2"/>
      </rPr>
      <t>чужд</t>
    </r>
    <r>
      <rPr>
        <sz val="12"/>
        <color theme="1"/>
        <rFont val="Arial Narrow"/>
        <family val="2"/>
      </rPr>
      <t xml:space="preserve"> - чужд език, </t>
    </r>
    <r>
      <rPr>
        <b/>
        <sz val="12"/>
        <color theme="1"/>
        <rFont val="Arial Narrow"/>
        <family val="2"/>
      </rPr>
      <t xml:space="preserve">ФЧЕ - </t>
    </r>
    <r>
      <rPr>
        <sz val="12"/>
        <color theme="1"/>
        <rFont val="Arial Narrow"/>
        <family val="2"/>
      </rPr>
      <t>чуждоезикова филология) - Посочете езика на обучение, съгласно учебния план на специалността. Опцията</t>
    </r>
    <r>
      <rPr>
        <b/>
        <sz val="12"/>
        <color theme="1"/>
        <rFont val="Arial Narrow"/>
        <family val="2"/>
      </rPr>
      <t xml:space="preserve"> ФЧЕ</t>
    </r>
    <r>
      <rPr>
        <sz val="12"/>
        <color theme="1"/>
        <rFont val="Arial Narrow"/>
        <family val="2"/>
      </rPr>
      <t xml:space="preserve"> се посочва в случаите, при които по учебен план е предвидено обучение на български език, но спецификата на дисциплината предполага преподаване на чужд език.</t>
    </r>
  </si>
  <si>
    <r>
      <rPr>
        <b/>
        <sz val="12"/>
        <color theme="1"/>
        <rFont val="Arial Narrow"/>
        <family val="2"/>
      </rPr>
      <t>Титуляр / Асистиращ</t>
    </r>
    <r>
      <rPr>
        <sz val="12"/>
        <color theme="1"/>
        <rFont val="Arial Narrow"/>
        <family val="2"/>
      </rPr>
      <t xml:space="preserve"> - Посочете статута си по съответната дисциплина/практика.</t>
    </r>
  </si>
  <si>
    <r>
      <rPr>
        <b/>
        <sz val="12"/>
        <color theme="1"/>
        <rFont val="Arial Narrow"/>
        <family val="2"/>
      </rPr>
      <t>Брой изпитани</t>
    </r>
    <r>
      <rPr>
        <sz val="12"/>
        <color theme="1"/>
        <rFont val="Arial Narrow"/>
        <family val="2"/>
      </rPr>
      <t xml:space="preserve"> - Посочете броя изпитани студенти, при предвиден семестриален изпит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</si>
  <si>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курсови работи</t>
    </r>
    <r>
      <rPr>
        <sz val="12"/>
        <color theme="1"/>
        <rFont val="Arial Narrow"/>
        <family val="2"/>
        <charset val="204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  <charset val="204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  <charset val="204"/>
      </rPr>
      <t xml:space="preserve">таблица (1.2. / 2.2.) ОКС "бакалавър" и "магистър" след средно образование – практики и курсови работи – (ЗИМЕН / ЛЕТЕН) семестър </t>
    </r>
  </si>
  <si>
    <r>
      <rPr>
        <b/>
        <sz val="12"/>
        <color theme="1"/>
        <rFont val="Arial Narrow"/>
        <family val="2"/>
        <charset val="204"/>
      </rPr>
      <t>Научно ръководство</t>
    </r>
    <r>
      <rPr>
        <sz val="12"/>
        <color theme="1"/>
        <rFont val="Arial Narrow"/>
        <family val="2"/>
        <charset val="204"/>
      </rPr>
      <t xml:space="preserve"> - Дейността се планира/отчита ежегодно в семестъра, в който приключва съответната кандидат-докторантска година.</t>
    </r>
  </si>
  <si>
    <r>
      <rPr>
        <b/>
        <sz val="12"/>
        <color theme="1"/>
        <rFont val="Arial Narrow"/>
        <family val="2"/>
        <charset val="204"/>
      </rPr>
      <t>Докторантски курс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предвиденият по учебен план докторантски курс.</t>
    </r>
  </si>
  <si>
    <r>
      <rPr>
        <b/>
        <sz val="12"/>
        <color theme="1"/>
        <rFont val="Arial Narrow"/>
        <family val="2"/>
        <charset val="204"/>
      </rPr>
      <t>Докторантска програма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наименованието на докторантската програма.</t>
    </r>
  </si>
  <si>
    <r>
      <rPr>
        <b/>
        <sz val="12"/>
        <color theme="1"/>
        <rFont val="Arial Narrow"/>
        <family val="2"/>
        <charset val="204"/>
      </rPr>
      <t>Професионално направление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професионалното направление, към което е докторантската програма.</t>
    </r>
  </si>
  <si>
    <r>
      <rPr>
        <b/>
        <sz val="12"/>
        <color theme="1"/>
        <rFont val="Arial Narrow"/>
        <family val="2"/>
        <charset val="204"/>
      </rPr>
      <t>Брой докторанти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Задължително посочете броя включени докторанти!</t>
    </r>
  </si>
  <si>
    <r>
      <rPr>
        <b/>
        <sz val="12"/>
        <color theme="1"/>
        <rFont val="Arial Narrow"/>
        <family val="2"/>
        <charset val="204"/>
      </rPr>
      <t>Брой изпитани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прогнозен брой, при план, и действителен брой, при отчет, оценени докторанти за учебната година, по съответният докторантски курс.</t>
    </r>
  </si>
  <si>
    <r>
      <rPr>
        <b/>
        <sz val="12"/>
        <color theme="1"/>
        <rFont val="Arial Narrow"/>
        <family val="2"/>
        <charset val="204"/>
      </rPr>
      <t>Участие в кандидат-докторантски изпит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>Посочете прогнозен брой, при план, и действителен брой, при отчет, изпитани кандидат-докторанти за учебна година.</t>
    </r>
  </si>
  <si>
    <r>
      <t xml:space="preserve">Подготовката (дизайна) на </t>
    </r>
    <r>
      <rPr>
        <b/>
        <sz val="11"/>
        <color theme="1"/>
        <rFont val="Arial Narrow"/>
        <family val="2"/>
        <charset val="204"/>
      </rPr>
      <t>актуализиран курс</t>
    </r>
    <r>
      <rPr>
        <sz val="11"/>
        <color theme="1"/>
        <rFont val="Arial Narrow"/>
        <family val="2"/>
        <charset val="204"/>
      </rPr>
      <t xml:space="preserve"> се планира и отчита когато промяната в съдържанието на съответния курс е </t>
    </r>
    <r>
      <rPr>
        <b/>
        <sz val="11"/>
        <color theme="1"/>
        <rFont val="Arial Narrow"/>
        <family val="2"/>
        <charset val="204"/>
      </rPr>
      <t>над 50%.</t>
    </r>
  </si>
  <si>
    <t>1. Аудиторна заетост и изпити по учебен план</t>
  </si>
  <si>
    <t>2. Кандидатдокторантски изпити и научно ръководство</t>
  </si>
  <si>
    <r>
      <rPr>
        <b/>
        <sz val="12"/>
        <rFont val="Arial Narrow"/>
        <family val="2"/>
        <charset val="204"/>
      </rPr>
      <t>Вид</t>
    </r>
    <r>
      <rPr>
        <sz val="12"/>
        <rFont val="Arial Narrow"/>
        <family val="2"/>
        <charset val="204"/>
      </rPr>
      <t xml:space="preserve"> (</t>
    </r>
    <r>
      <rPr>
        <b/>
        <sz val="12"/>
        <rFont val="Arial Narrow"/>
        <family val="2"/>
        <charset val="204"/>
      </rPr>
      <t xml:space="preserve">З </t>
    </r>
    <r>
      <rPr>
        <sz val="12"/>
        <rFont val="Arial Narrow"/>
        <family val="2"/>
        <charset val="204"/>
      </rPr>
      <t xml:space="preserve">- задължителна дисциплина, </t>
    </r>
    <r>
      <rPr>
        <b/>
        <sz val="12"/>
        <rFont val="Arial Narrow"/>
        <family val="2"/>
        <charset val="204"/>
      </rPr>
      <t xml:space="preserve">И </t>
    </r>
    <r>
      <rPr>
        <sz val="12"/>
        <rFont val="Arial Narrow"/>
        <family val="2"/>
        <charset val="204"/>
      </rPr>
      <t xml:space="preserve">- избираема дисциплина, </t>
    </r>
    <r>
      <rPr>
        <b/>
        <sz val="12"/>
        <rFont val="Arial Narrow"/>
        <family val="2"/>
        <charset val="204"/>
      </rPr>
      <t xml:space="preserve">Ф </t>
    </r>
    <r>
      <rPr>
        <sz val="12"/>
        <rFont val="Arial Narrow"/>
        <family val="2"/>
        <charset val="204"/>
      </rPr>
      <t>- факултативна дисциплина)</t>
    </r>
    <r>
      <rPr>
        <b/>
        <sz val="12"/>
        <rFont val="Arial Narrow"/>
        <family val="2"/>
        <charset val="204"/>
      </rPr>
      <t xml:space="preserve"> </t>
    </r>
    <r>
      <rPr>
        <sz val="12"/>
        <rFont val="Arial Narrow"/>
        <family val="2"/>
        <charset val="204"/>
      </rPr>
      <t xml:space="preserve">- ЗАДЪЛЖИТЕЛНО посочете вида на дисциплината, съгласно учебния план на специалността.
При преподаване в поток, опцията </t>
    </r>
    <r>
      <rPr>
        <b/>
        <sz val="12"/>
        <rFont val="Arial Narrow"/>
        <family val="2"/>
        <charset val="204"/>
      </rPr>
      <t>З</t>
    </r>
    <r>
      <rPr>
        <sz val="12"/>
        <rFont val="Arial Narrow"/>
        <family val="2"/>
        <charset val="204"/>
      </rPr>
      <t xml:space="preserve"> се посочва, ако за поне една от специалностите/магистърските програми, включени в потока дисциплината е задължителна.</t>
    </r>
  </si>
  <si>
    <t>Научно ръководство на докторант се планира/отчита ежегодно в семестъра,
в който приключва съответната докторантска година!</t>
  </si>
  <si>
    <r>
      <rPr>
        <b/>
        <sz val="12"/>
        <color theme="1"/>
        <rFont val="Arial Narrow"/>
        <family val="2"/>
        <charset val="204"/>
      </rPr>
      <t>Език</t>
    </r>
    <r>
      <rPr>
        <sz val="12"/>
        <color theme="1"/>
        <rFont val="Arial Narrow"/>
        <family val="2"/>
        <charset val="204"/>
      </rPr>
      <t xml:space="preserve"> (</t>
    </r>
    <r>
      <rPr>
        <b/>
        <sz val="12"/>
        <color theme="1"/>
        <rFont val="Arial Narrow"/>
        <family val="2"/>
        <charset val="204"/>
      </rPr>
      <t>БЕ</t>
    </r>
    <r>
      <rPr>
        <sz val="12"/>
        <color theme="1"/>
        <rFont val="Arial Narrow"/>
        <family val="2"/>
        <charset val="204"/>
      </rPr>
      <t xml:space="preserve"> - преподаване на български език, </t>
    </r>
    <r>
      <rPr>
        <b/>
        <sz val="12"/>
        <color theme="1"/>
        <rFont val="Arial Narrow"/>
        <family val="2"/>
        <charset val="204"/>
      </rPr>
      <t>чужд</t>
    </r>
    <r>
      <rPr>
        <sz val="12"/>
        <color theme="1"/>
        <rFont val="Arial Narrow"/>
        <family val="2"/>
        <charset val="204"/>
      </rPr>
      <t xml:space="preserve"> - преподаване на чужд език) - </t>
    </r>
    <r>
      <rPr>
        <sz val="11"/>
        <color theme="1"/>
        <rFont val="Arial Narrow"/>
        <family val="2"/>
        <charset val="204"/>
      </rPr>
      <t xml:space="preserve">посочете езика, на който се провежда предвиденото по учебен план обучение. </t>
    </r>
  </si>
  <si>
    <r>
      <rPr>
        <b/>
        <sz val="12"/>
        <color theme="1"/>
        <rFont val="Arial Narrow"/>
        <family val="2"/>
      </rPr>
      <t>Форма на оценяване</t>
    </r>
    <r>
      <rPr>
        <sz val="12"/>
        <color theme="1"/>
        <rFont val="Arial Narrow"/>
        <family val="2"/>
      </rPr>
      <t xml:space="preserve"> (</t>
    </r>
    <r>
      <rPr>
        <b/>
        <sz val="12"/>
        <color theme="1"/>
        <rFont val="Arial Narrow"/>
        <family val="2"/>
      </rPr>
      <t>Изпит</t>
    </r>
    <r>
      <rPr>
        <sz val="12"/>
        <color theme="1"/>
        <rFont val="Arial Narrow"/>
        <family val="2"/>
      </rPr>
      <t xml:space="preserve"> - изпит, </t>
    </r>
    <r>
      <rPr>
        <b/>
        <sz val="12"/>
        <color theme="1"/>
        <rFont val="Arial Narrow"/>
        <family val="2"/>
      </rPr>
      <t>ТО</t>
    </r>
    <r>
      <rPr>
        <sz val="12"/>
        <color theme="1"/>
        <rFont val="Arial Narrow"/>
        <family val="2"/>
      </rPr>
      <t xml:space="preserve"> - текущо оценяване, </t>
    </r>
    <r>
      <rPr>
        <b/>
        <sz val="12"/>
        <color theme="1"/>
        <rFont val="Arial Narrow"/>
        <family val="2"/>
      </rPr>
      <t>КИ</t>
    </r>
    <r>
      <rPr>
        <sz val="12"/>
        <color theme="1"/>
        <rFont val="Arial Narrow"/>
        <family val="2"/>
      </rPr>
      <t xml:space="preserve"> - комбинирано изпитване, </t>
    </r>
    <r>
      <rPr>
        <b/>
        <sz val="12"/>
        <color theme="1"/>
        <rFont val="Arial Narrow"/>
        <family val="2"/>
      </rPr>
      <t>прод.</t>
    </r>
    <r>
      <rPr>
        <sz val="12"/>
        <color theme="1"/>
        <rFont val="Arial Narrow"/>
        <family val="2"/>
      </rPr>
      <t xml:space="preserve"> - продължава в следващ семестър) - Посочете предвиденото по учебен план за съответната дисциплина.</t>
    </r>
  </si>
  <si>
    <r>
      <rPr>
        <b/>
        <sz val="12"/>
        <color theme="1"/>
        <rFont val="Arial Narrow"/>
        <family val="2"/>
      </rPr>
      <t>Брой текущо оценени</t>
    </r>
    <r>
      <rPr>
        <sz val="12"/>
        <color theme="1"/>
        <rFont val="Arial Narrow"/>
        <family val="2"/>
      </rPr>
      <t xml:space="preserve"> - При предвидено ТО/КИ по учебен план, посочете броя контролни работи / текущи оценки през семестъра, които участват в оформянето на финалната оценка по дисциплината/практиката.
Броят текущи оценки трябва да е не повече от 3 пъти броя оценени студенти.</t>
    </r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</si>
  <si>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Часовете лекции и упражнения на чужд език се планират/отчитат като такива, при предвидено по учебен план обучение на чужд език.</t>
    </r>
  </si>
  <si>
    <r>
      <rPr>
        <b/>
        <sz val="12"/>
        <color theme="1"/>
        <rFont val="Arial Narrow"/>
        <family val="2"/>
        <charset val="204"/>
      </rPr>
      <t>2.</t>
    </r>
    <r>
      <rPr>
        <sz val="12"/>
        <color theme="1"/>
        <rFont val="Arial Narrow"/>
        <family val="2"/>
        <charset val="204"/>
      </rPr>
      <t xml:space="preserve"> За провеждане на лекции, по решение на ФС, студентите се разпределят в потоци.
В  зависимост от характера на курса и условията (капацитет и брой на аудиториите), максималният брой студенти в един поток не трябва да надвишава 140.
При специалности с брой на студентите по-малък от 50-60 и при налични условия, обучението да се извършва в един поток.
</t>
    </r>
    <r>
      <rPr>
        <b/>
        <sz val="12"/>
        <color theme="1"/>
        <rFont val="Arial Narrow"/>
        <family val="2"/>
        <charset val="204"/>
      </rPr>
      <t>3.</t>
    </r>
    <r>
      <rPr>
        <sz val="12"/>
        <color theme="1"/>
        <rFont val="Arial Narrow"/>
        <family val="2"/>
        <charset val="204"/>
      </rPr>
      <t xml:space="preserve"> Броят на студентите в една учебна група за провеждане на упражнения от “семинарен тип” е 20-22, като упражнения от “семинарен тип” са всички практически упражнения, извършването, на които не се нуждае от изследователска лабораторна апаратура.
</t>
    </r>
    <r>
      <rPr>
        <b/>
        <sz val="12"/>
        <color theme="1"/>
        <rFont val="Arial Narrow"/>
        <family val="2"/>
        <charset val="204"/>
      </rPr>
      <t>4.</t>
    </r>
    <r>
      <rPr>
        <sz val="12"/>
        <color theme="1"/>
        <rFont val="Arial Narrow"/>
        <family val="2"/>
        <charset val="204"/>
      </rPr>
      <t xml:space="preserve"> Броят на студентите в една група по предклинични дисциплини и лабораторни упражнения е 8-10 души.
</t>
    </r>
    <r>
      <rPr>
        <b/>
        <sz val="12"/>
        <color theme="1"/>
        <rFont val="Arial Narrow"/>
        <family val="2"/>
        <charset val="204"/>
      </rPr>
      <t>5.</t>
    </r>
    <r>
      <rPr>
        <sz val="12"/>
        <color theme="1"/>
        <rFont val="Arial Narrow"/>
        <family val="2"/>
        <charset val="204"/>
      </rPr>
      <t xml:space="preserve"> Броят на студентите в една клинична група е 4 – 5 души.
</t>
    </r>
    <r>
      <rPr>
        <b/>
        <sz val="12"/>
        <color theme="1"/>
        <rFont val="Arial Narrow"/>
        <family val="2"/>
        <charset val="204"/>
      </rPr>
      <t>6.</t>
    </r>
    <r>
      <rPr>
        <sz val="12"/>
        <color theme="1"/>
        <rFont val="Arial Narrow"/>
        <family val="2"/>
        <charset val="204"/>
      </rPr>
      <t xml:space="preserve"> Броят на студентите в група за чуждоезиково обучение е 12-15 души.</t>
    </r>
  </si>
  <si>
    <r>
      <rPr>
        <b/>
        <sz val="12"/>
        <color theme="1"/>
        <rFont val="Arial Narrow"/>
        <family val="2"/>
        <charset val="204"/>
      </rPr>
      <t>7.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В случай на по-малък брой студенти,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</si>
  <si>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8.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„магистър“ след придобита степен на висшето образование, минималният брой студенти за реализирането на занятията /лекции и упражнения/ в магистърски програми е 6 души. 
Ако избралите дадена магистърска програма са под 6 души, по решение на Факултетния съвет, кандидатите се насочват в други сродни програми или обучението се извършва във вид на индивидуални занятия с редуцирана натовареност както следва:</t>
    </r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</si>
  <si>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 В случай на по-малък брой докторанти,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</si>
  <si>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2.</t>
    </r>
    <r>
      <rPr>
        <sz val="12"/>
        <color theme="1"/>
        <rFont val="Arial Narrow"/>
        <family val="2"/>
        <charset val="204"/>
      </rPr>
      <t xml:space="preserve"> За научни ръководители, които не изпълняват задълженията си, Факултетският съвет може да реши да не отчитат часовете за ръководените от тях докторанти.</t>
    </r>
  </si>
  <si>
    <t>Студенти
бр.</t>
  </si>
  <si>
    <t xml:space="preserve">Формуляр за </t>
  </si>
  <si>
    <t>Отчет</t>
  </si>
  <si>
    <t>Дата</t>
  </si>
  <si>
    <t>Подобряване на формулярету е таблиците</t>
  </si>
  <si>
    <t>IP-SU</t>
  </si>
  <si>
    <t>IO-1-SU</t>
  </si>
  <si>
    <t>IO-2-SU</t>
  </si>
  <si>
    <t>IO-3-SU</t>
  </si>
  <si>
    <t>БЛАНКА</t>
  </si>
  <si>
    <r>
      <t xml:space="preserve">Преподавателски
 </t>
    </r>
    <r>
      <rPr>
        <sz val="11"/>
        <color theme="1"/>
        <rFont val="Calibri"/>
        <family val="2"/>
        <charset val="204"/>
        <scheme val="minor"/>
      </rPr>
      <t>въведени данни</t>
    </r>
  </si>
  <si>
    <t>СЕПТЕМВРИЙСКА
СЕСИЯ</t>
  </si>
  <si>
    <r>
      <rPr>
        <b/>
        <sz val="12"/>
        <color rgb="FFFF0000"/>
        <rFont val="Arial Narrow"/>
        <family val="2"/>
        <charset val="204"/>
      </rPr>
      <t>Възложени часове ЛЕКЦИИ и Възложени часове УПРАЖНЕНИЯ</t>
    </r>
    <r>
      <rPr>
        <sz val="12"/>
        <color rgb="FFFF0000"/>
        <rFont val="Arial Narrow"/>
        <family val="2"/>
        <charset val="204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</si>
  <si>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  <charset val="204"/>
      </rPr>
      <t>Брой лекции и Брой упражнения по учебен план</t>
    </r>
    <r>
      <rPr>
        <sz val="12"/>
        <color theme="1"/>
        <rFont val="Arial Narrow"/>
        <family val="2"/>
        <charset val="204"/>
      </rPr>
      <t xml:space="preserve"> - </t>
    </r>
    <r>
      <rPr>
        <sz val="11"/>
        <color theme="1"/>
        <rFont val="Arial Narrow"/>
        <family val="2"/>
        <charset val="204"/>
      </rPr>
      <t xml:space="preserve">Посочете предвидения за съответния семестър на учебната година хорариум.
</t>
    </r>
    <r>
      <rPr>
        <b/>
        <sz val="11"/>
        <color rgb="FFFF0000"/>
        <rFont val="Arial Narrow"/>
        <family val="2"/>
        <charset val="204"/>
      </rPr>
      <t>Не приравнявайте към часове упражнения! Не прилагайте коефициенти за по-малък брой студенти!</t>
    </r>
  </si>
  <si>
    <r>
      <rPr>
        <b/>
        <sz val="12"/>
        <color theme="1"/>
        <rFont val="Arial Narrow"/>
        <family val="2"/>
        <charset val="204"/>
      </rPr>
      <t xml:space="preserve">Семестър - </t>
    </r>
    <r>
      <rPr>
        <sz val="12"/>
        <color theme="1"/>
        <rFont val="Arial Narrow"/>
        <family val="2"/>
        <charset val="204"/>
      </rPr>
      <t>Посочете семестъра, в който се чете.</t>
    </r>
  </si>
  <si>
    <r>
      <rPr>
        <b/>
        <sz val="12"/>
        <rFont val="Arial Narrow"/>
        <family val="2"/>
        <charset val="204"/>
      </rPr>
      <t>Курс</t>
    </r>
    <r>
      <rPr>
        <sz val="12"/>
        <rFont val="Arial Narrow"/>
        <family val="2"/>
        <charset val="204"/>
      </rPr>
      <t xml:space="preserve"> - Посочета курса на студентите, слушащи преподаваната от Вас дисциплина.</t>
    </r>
  </si>
  <si>
    <t>Научно ръководство, самостоятелна форма на подготовка</t>
  </si>
  <si>
    <t>Докторантски курс</t>
  </si>
  <si>
    <t>Брой 
кандидат-докторанти;
докторанти</t>
  </si>
  <si>
    <t>Лекторат</t>
  </si>
  <si>
    <t>Заповед №:</t>
  </si>
  <si>
    <t>ВУЗ:</t>
  </si>
  <si>
    <t>от</t>
  </si>
  <si>
    <t>до</t>
  </si>
  <si>
    <r>
      <t>1. </t>
    </r>
    <r>
      <rPr>
        <sz val="12"/>
        <color theme="1"/>
        <rFont val="Arial"/>
        <family val="2"/>
        <charset val="204"/>
      </rPr>
      <t>Учебна и педагогическа практика *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</si>
  <si>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 xml:space="preserve">Научно-производствена практика – </t>
    </r>
    <r>
      <rPr>
        <i/>
        <sz val="11"/>
        <color theme="1"/>
        <rFont val="Arial"/>
        <family val="2"/>
        <charset val="204"/>
      </rPr>
      <t>3 ч. упр. на група за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</si>
  <si>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Преддипломен стаж/практика по учебен план – </t>
    </r>
    <r>
      <rPr>
        <i/>
        <sz val="11"/>
        <color theme="1"/>
        <rFont val="Arial"/>
        <family val="2"/>
        <charset val="204"/>
      </rPr>
      <t>3 ч. упр. на стажантска група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</si>
  <si>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 xml:space="preserve"> </t>
    </r>
    <r>
      <rPr>
        <i/>
        <sz val="12"/>
        <color theme="1"/>
        <rFont val="Arial"/>
        <family val="2"/>
        <charset val="204"/>
      </rPr>
      <t xml:space="preserve">Теренна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</si>
  <si>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Лятна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</si>
  <si>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sz val="12"/>
        <color theme="1"/>
        <rFont val="Arial"/>
        <family val="2"/>
        <charset val="204"/>
      </rPr>
      <t>·</t>
    </r>
    <r>
      <rPr>
        <sz val="12"/>
        <color theme="1"/>
        <rFont val="Arial"/>
        <family val="2"/>
        <charset val="204"/>
      </rPr>
      <t> </t>
    </r>
    <r>
      <rPr>
        <i/>
        <sz val="12"/>
        <color theme="1"/>
        <rFont val="Arial"/>
        <family val="2"/>
        <charset val="204"/>
      </rPr>
      <t xml:space="preserve">Учебно-спортна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</si>
  <si>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t>зимен сем.</t>
  </si>
  <si>
    <t>летен сем.</t>
  </si>
  <si>
    <t>Брой докторанти</t>
  </si>
  <si>
    <r>
      <rPr>
        <b/>
        <sz val="12"/>
        <color theme="1"/>
        <rFont val="Arial Narrow"/>
        <family val="2"/>
        <charset val="204"/>
      </rPr>
      <t>1.</t>
    </r>
    <r>
      <rPr>
        <sz val="12"/>
        <color theme="1"/>
        <rFont val="Arial Narrow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
    В случай на по-малък брой докторанти, часовете се редуцират както следва:</t>
    </r>
  </si>
  <si>
    <r>
      <rPr>
        <b/>
        <sz val="12"/>
        <color theme="1"/>
        <rFont val="Arial Narrow"/>
        <family val="2"/>
        <charset val="204"/>
      </rPr>
      <t>7.</t>
    </r>
    <r>
      <rPr>
        <sz val="12"/>
        <color theme="1"/>
        <rFont val="Arial Narrow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    В случай на по-малък брой студенти, часовете се редуцират както следва:</t>
    </r>
  </si>
  <si>
    <t>Заетост по МП:</t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</si>
  <si>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 xml:space="preserve"> </t>
    </r>
    <r>
      <rPr>
        <i/>
        <sz val="11"/>
        <color theme="1"/>
        <rFont val="Arial"/>
        <family val="2"/>
        <charset val="204"/>
      </rPr>
      <t>Научно-производствена практика - 3 ч. упр. на група за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</si>
  <si>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Преддипломен стаж/практика по учебен план - 3 ч. упр. на стажантска група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</si>
  <si>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 xml:space="preserve"> </t>
    </r>
    <r>
      <rPr>
        <i/>
        <sz val="11"/>
        <color theme="1"/>
        <rFont val="Arial"/>
        <family val="2"/>
        <charset val="204"/>
      </rPr>
      <t>Теренна практика - 4 часа упр. на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</si>
  <si>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Лятна практика - 4 часа упр. на ден</t>
    </r>
  </si>
  <si>
    <r>
      <rPr>
        <b/>
        <sz val="11"/>
        <color theme="1"/>
        <rFont val="Arial"/>
        <family val="2"/>
        <charset val="204"/>
      </rPr>
      <t>·</t>
    </r>
    <r>
      <rPr>
        <sz val="11"/>
        <color theme="1"/>
        <rFont val="Arial"/>
        <family val="2"/>
        <charset val="204"/>
      </rPr>
      <t> </t>
    </r>
    <r>
      <rPr>
        <i/>
        <sz val="11"/>
        <color theme="1"/>
        <rFont val="Arial"/>
        <family val="2"/>
        <charset val="204"/>
      </rPr>
      <t>Учебно-спортна практика - 4 часа упр. на ден</t>
    </r>
  </si>
  <si>
    <t>Лекторат учебна заетост:</t>
  </si>
  <si>
    <t>Лекторат аудиторна заетост:</t>
  </si>
  <si>
    <t>дд</t>
  </si>
  <si>
    <t>мм</t>
  </si>
  <si>
    <t>гггг</t>
  </si>
  <si>
    <t>Група</t>
  </si>
  <si>
    <t>Теренна практика</t>
  </si>
  <si>
    <t>Лятна практика</t>
  </si>
  <si>
    <t>Вид практика</t>
  </si>
  <si>
    <t>Учебна и педагогическа практика</t>
  </si>
  <si>
    <t>Научно-производствена практика</t>
  </si>
  <si>
    <t>Преддипломен стаж</t>
  </si>
  <si>
    <t>Учебно-спортна практика</t>
  </si>
  <si>
    <t>Практика и курсова работа</t>
  </si>
  <si>
    <t>Теренна п-ка</t>
  </si>
  <si>
    <t>Лятна п-ка</t>
  </si>
  <si>
    <t>Учебно-спортна п-ка</t>
  </si>
  <si>
    <t>Час/Група/Ден</t>
  </si>
  <si>
    <t>Групи</t>
  </si>
  <si>
    <t>Дни</t>
  </si>
  <si>
    <t>Форма на
обучение</t>
  </si>
  <si>
    <t>Час</t>
  </si>
  <si>
    <t>Ден</t>
  </si>
  <si>
    <t>Научно-произв. п-ка</t>
  </si>
  <si>
    <t>Учебно-спортна практика,
4 ч. упр., за 1 ден практика.</t>
  </si>
  <si>
    <t>Лятна практика
4 ч. упр., за 1 ден практика.</t>
  </si>
  <si>
    <t>Практика</t>
  </si>
  <si>
    <t>уфГрупа</t>
  </si>
  <si>
    <t>Часа</t>
  </si>
  <si>
    <t>ВидПрактика</t>
  </si>
  <si>
    <t>чПрактика</t>
  </si>
  <si>
    <t>№</t>
  </si>
  <si>
    <t>Практики и курсови работи</t>
  </si>
  <si>
    <t>г</t>
  </si>
  <si>
    <t>гд</t>
  </si>
  <si>
    <t>д</t>
  </si>
  <si>
    <t>пВидПрактика</t>
  </si>
  <si>
    <t>* При аудиторна заетост под утвърдения от АС норматив и при провеждане на практики по т. 1 от извънаудиторната заетост, могат да бъдат отчетени като аудиторна заетост до 30 часа.</t>
  </si>
  <si>
    <t>Версия:</t>
  </si>
  <si>
    <t>Часове по учебен план</t>
  </si>
  <si>
    <t>Хоспитиране</t>
  </si>
  <si>
    <t>Текуща педагогическа практика</t>
  </si>
  <si>
    <t>Row1</t>
  </si>
  <si>
    <t>Row2</t>
  </si>
  <si>
    <t>Теренна практика
4 ч. упр., за 1 ден практика.</t>
  </si>
  <si>
    <t>Преддипломен стаж
3 ч. упр., за 1 група</t>
  </si>
  <si>
    <t>Научно-производствена практика
3 ч. упр.,  1 група за 1 ден.</t>
  </si>
  <si>
    <t>Хоспитиране
30 ч.  упр. , за 1 група</t>
  </si>
  <si>
    <t>Текуща педагогическа практика, 
60 ч. упр.,  за 1 група</t>
  </si>
  <si>
    <t>Тази част от електронния формуляр касае единствено ОКС "бакалавър" и ОКС "магистър".</t>
  </si>
  <si>
    <r>
      <rPr>
        <b/>
        <sz val="11"/>
        <color theme="1"/>
        <rFont val="Arial"/>
        <family val="2"/>
        <charset val="204"/>
      </rPr>
      <t>1.</t>
    </r>
    <r>
      <rPr>
        <sz val="11"/>
        <color theme="1"/>
        <rFont val="Arial"/>
        <family val="2"/>
        <charset val="204"/>
      </rPr>
      <t xml:space="preserve"> Часовете лекции и упражнения на чужд език се планират/отчитат като такива, при предвидено по учебен план обучение на чужд език.</t>
    </r>
  </si>
  <si>
    <r>
      <rPr>
        <b/>
        <sz val="11"/>
        <color theme="1"/>
        <rFont val="Arial"/>
        <family val="2"/>
        <charset val="204"/>
      </rPr>
      <t>7.</t>
    </r>
    <r>
      <rPr>
        <sz val="11"/>
        <color theme="1"/>
        <rFont val="Arial"/>
        <family val="2"/>
        <charset val="204"/>
      </rPr>
      <t xml:space="preserve"> При обучение за придобиване на ОКС „бакалавър“ и ОКС „магистър“ след придобито средно образование, минималният брой студенти за реализирането на занятията /лекции и упражнения/ по избираеми и факултативни учебни дисциплини е 6 души.
В случай на по-малък брой студенти, часовете се редуцират както следва:</t>
    </r>
  </si>
  <si>
    <r>
      <rPr>
        <b/>
        <sz val="11"/>
        <color theme="1"/>
        <rFont val="Arial"/>
        <family val="2"/>
        <charset val="204"/>
      </rPr>
      <t>8.</t>
    </r>
    <r>
      <rPr>
        <sz val="11"/>
        <color theme="1"/>
        <rFont val="Arial"/>
        <family val="2"/>
        <charset val="204"/>
      </rPr>
      <t xml:space="preserve"> При обучение за придобиване на ОКС „магистър“ след придобита степен на висшето образование, минималният брой студенти за реализирането на занятията /лекции и упражнения/ в магистърски програми е 6 души. 
Ако избралите дадена магистърска програма са под 6 души, по решение на Факултетния съвет, кандидатите се насочват в други сродни програми или обучението се извършва във вид на индивидуални занятия с редуцирана натовареност както следва:</t>
    </r>
  </si>
  <si>
    <r>
      <rPr>
        <b/>
        <sz val="11"/>
        <color theme="1"/>
        <rFont val="Arial"/>
        <family val="2"/>
        <charset val="204"/>
      </rPr>
      <t>1.</t>
    </r>
    <r>
      <rPr>
        <sz val="11"/>
        <color theme="1"/>
        <rFont val="Arial"/>
        <family val="2"/>
        <charset val="204"/>
      </rPr>
      <t xml:space="preserve"> Минималният брой докторанти за реализирането на занятията (лекции и упражнения) е най-малко от трима души. В случай на по-малък брой докторанти, часовете се редуцират както следва:</t>
    </r>
  </si>
  <si>
    <r>
      <rPr>
        <b/>
        <sz val="11"/>
        <color theme="1"/>
        <rFont val="Arial"/>
        <family val="2"/>
        <charset val="204"/>
      </rPr>
      <t>2.</t>
    </r>
    <r>
      <rPr>
        <sz val="11"/>
        <color theme="1"/>
        <rFont val="Arial"/>
        <family val="2"/>
        <charset val="204"/>
      </rPr>
      <t xml:space="preserve"> За научни ръководители, които не изпълняват задълженията си, Факултетският съвет може да реши да не отчитат часовете за ръководените от тях докторанти.</t>
    </r>
  </si>
  <si>
    <r>
      <rPr>
        <b/>
        <i/>
        <sz val="11"/>
        <rFont val="Arial"/>
        <family val="2"/>
        <charset val="204"/>
      </rPr>
      <t>*</t>
    </r>
    <r>
      <rPr>
        <i/>
        <sz val="11"/>
        <rFont val="Arial"/>
        <family val="2"/>
        <charset val="204"/>
      </rPr>
      <t xml:space="preserve"> При аудиторна заетост под утвърдения от АС норматив и при провеждане на практики по т.1 от извънаудиторната заетост, могат да бъдат отчетени като аудиторна заетост до 30 часа.</t>
    </r>
  </si>
  <si>
    <r>
      <rPr>
        <b/>
        <i/>
        <sz val="11"/>
        <rFont val="Arial"/>
        <family val="2"/>
        <charset val="204"/>
      </rPr>
      <t>**</t>
    </r>
    <r>
      <rPr>
        <i/>
        <sz val="11"/>
        <rFont val="Arial"/>
        <family val="2"/>
        <charset val="204"/>
      </rPr>
      <t xml:space="preserve"> При аудиторна заетост под утвърдения от АС норматив и при изпитани повече от 150 студенти, могат да бъдат отчетени като аудиторна заетост до 30 часа.</t>
    </r>
  </si>
  <si>
    <t>асистент</t>
  </si>
  <si>
    <t>главен асистент</t>
  </si>
  <si>
    <t>доцент</t>
  </si>
  <si>
    <t>професор</t>
  </si>
  <si>
    <t>старши преподавател</t>
  </si>
  <si>
    <t>Академична длъжност в СУ</t>
  </si>
  <si>
    <t>акад. длъж</t>
  </si>
  <si>
    <t>ас.</t>
  </si>
  <si>
    <t>гл. ас.</t>
  </si>
  <si>
    <t>доц.</t>
  </si>
  <si>
    <t>проф.</t>
  </si>
  <si>
    <t>ст. преп.</t>
  </si>
  <si>
    <t>преподавател</t>
  </si>
  <si>
    <t>преп.</t>
  </si>
  <si>
    <t>първо ниво изслед.</t>
  </si>
  <si>
    <t>второ ниво изслед.</t>
  </si>
  <si>
    <t>трето ниво изслед.</t>
  </si>
  <si>
    <t>четвърто ниво изслед.</t>
  </si>
  <si>
    <t>/академична длъжност/</t>
  </si>
  <si>
    <t xml:space="preserve">/име, презиме, фамилия/                    </t>
  </si>
  <si>
    <t>уфДен</t>
  </si>
  <si>
    <t>Тeкуща педагог. п-ка</t>
  </si>
  <si>
    <t>Студенти</t>
  </si>
  <si>
    <t>И/ДИ/З</t>
  </si>
  <si>
    <t>ФормаОб</t>
  </si>
  <si>
    <t>ФормаОц</t>
  </si>
  <si>
    <t>Екип</t>
  </si>
  <si>
    <t>Данни</t>
  </si>
  <si>
    <t>Препод.</t>
  </si>
  <si>
    <t>Въвед. данни от</t>
  </si>
  <si>
    <t>СтФ</t>
  </si>
  <si>
    <t>ДС</t>
  </si>
  <si>
    <t>ФзФ</t>
  </si>
  <si>
    <t>%2</t>
  </si>
  <si>
    <r>
      <rPr>
        <b/>
        <sz val="11"/>
        <color theme="1"/>
        <rFont val="Arial"/>
        <family val="2"/>
        <charset val="204"/>
      </rPr>
      <t>· </t>
    </r>
    <r>
      <rPr>
        <i/>
        <sz val="11"/>
        <color theme="1"/>
        <rFont val="Arial"/>
        <family val="2"/>
        <charset val="204"/>
      </rPr>
      <t>Хоспитиране ***  – 30 ч. упр. на група</t>
    </r>
  </si>
  <si>
    <r>
      <rPr>
        <b/>
        <sz val="11"/>
        <color theme="1"/>
        <rFont val="Arial"/>
        <family val="2"/>
        <charset val="204"/>
      </rPr>
      <t xml:space="preserve">· </t>
    </r>
    <r>
      <rPr>
        <i/>
        <sz val="11"/>
        <color theme="1"/>
        <rFont val="Arial"/>
        <family val="2"/>
        <charset val="204"/>
      </rPr>
      <t>Текуща педагогическа практика *** – 60 ч. упр. за група</t>
    </r>
  </si>
  <si>
    <r>
      <rPr>
        <b/>
        <sz val="12"/>
        <color theme="1"/>
        <rFont val="Arial"/>
        <family val="2"/>
        <charset val="204"/>
      </rPr>
      <t>· </t>
    </r>
    <r>
      <rPr>
        <sz val="12"/>
        <color theme="1"/>
        <rFont val="Arial"/>
        <family val="2"/>
        <charset val="204"/>
      </rPr>
      <t>Хоспитиране ***  – 30 ч. упр. на група</t>
    </r>
  </si>
  <si>
    <r>
      <rPr>
        <b/>
        <sz val="11"/>
        <color theme="1"/>
        <rFont val="Arial"/>
        <family val="2"/>
        <charset val="204"/>
      </rPr>
      <t xml:space="preserve">· </t>
    </r>
    <r>
      <rPr>
        <i/>
        <sz val="12"/>
        <color theme="1"/>
        <rFont val="Arial"/>
        <family val="2"/>
        <charset val="204"/>
      </rPr>
      <t>Текуща педагогическа практика *** – 60 ч. упр. за група</t>
    </r>
  </si>
  <si>
    <t>Скрива</t>
  </si>
  <si>
    <t>Зимен - 1.1., 1.2., 1.3.</t>
  </si>
  <si>
    <t>Видими</t>
  </si>
  <si>
    <t>Летен - 2.1., 2.2., 2.3.</t>
  </si>
  <si>
    <t>4. Слети четения и четения в поток</t>
  </si>
  <si>
    <t>Акад. длъжн</t>
  </si>
  <si>
    <t>ПОМОЩ</t>
  </si>
  <si>
    <r>
      <rPr>
        <b/>
        <sz val="12"/>
        <color theme="1"/>
        <rFont val="Arial Narrow"/>
        <family val="2"/>
        <charset val="204"/>
      </rPr>
      <t>Титуляр/Асистиращ</t>
    </r>
    <r>
      <rPr>
        <sz val="12"/>
        <color theme="1"/>
        <rFont val="Arial Narrow"/>
        <family val="2"/>
        <charset val="204"/>
      </rPr>
      <t xml:space="preserve"> – Посочете статута си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</si>
  <si>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изпитани</t>
    </r>
    <r>
      <rPr>
        <sz val="12"/>
        <color theme="1"/>
        <rFont val="Arial Narrow"/>
        <family val="2"/>
        <charset val="204"/>
      </rPr>
      <t xml:space="preserve"> – Посочете броя изпитани студенти, при предвиден семестриален изпит по съответната дисциплина/практика.</t>
    </r>
  </si>
  <si>
    <r>
      <rPr>
        <b/>
        <sz val="12"/>
        <color theme="1"/>
        <rFont val="Arial Narrow"/>
        <family val="2"/>
        <charset val="204"/>
      </rPr>
      <t>Брой текущо оценени</t>
    </r>
    <r>
      <rPr>
        <sz val="12"/>
        <color theme="1"/>
        <rFont val="Arial Narrow"/>
        <family val="2"/>
        <charset val="204"/>
      </rPr>
      <t xml:space="preserve"> – При предвидено </t>
    </r>
    <r>
      <rPr>
        <b/>
        <sz val="12"/>
        <color theme="1"/>
        <rFont val="Arial Narrow"/>
        <family val="2"/>
        <charset val="204"/>
      </rPr>
      <t>ТО</t>
    </r>
    <r>
      <rPr>
        <sz val="12"/>
        <color theme="1"/>
        <rFont val="Arial Narrow"/>
        <family val="2"/>
        <charset val="204"/>
      </rPr>
      <t>/</t>
    </r>
    <r>
      <rPr>
        <b/>
        <sz val="12"/>
        <color theme="1"/>
        <rFont val="Arial Narrow"/>
        <family val="2"/>
        <charset val="204"/>
      </rPr>
      <t>КИ</t>
    </r>
    <r>
      <rPr>
        <sz val="12"/>
        <color theme="1"/>
        <rFont val="Arial Narrow"/>
        <family val="2"/>
        <charset val="204"/>
      </rPr>
      <t xml:space="preserve"> по учебен план, посочете броя контролни работи / текущи оценки през семестъра, които участват в оформянето на финалната оценка по дисциплината/практиката.
Броят текущи оценки трябва да е не повече от 3 пъти броя оценени студенти.</t>
    </r>
  </si>
  <si>
    <r>
      <rPr>
        <b/>
        <sz val="12"/>
        <color theme="1"/>
        <rFont val="Arial Narrow"/>
        <family val="2"/>
        <charset val="204"/>
      </rPr>
      <t xml:space="preserve">Език </t>
    </r>
    <r>
      <rPr>
        <sz val="12"/>
        <color theme="1"/>
        <rFont val="Arial Narrow"/>
        <family val="2"/>
        <charset val="204"/>
      </rPr>
      <t>(</t>
    </r>
    <r>
      <rPr>
        <b/>
        <sz val="12"/>
        <color theme="1"/>
        <rFont val="Arial Narrow"/>
        <family val="2"/>
        <charset val="204"/>
      </rPr>
      <t>БЕ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български език,  </t>
    </r>
    <r>
      <rPr>
        <b/>
        <sz val="12"/>
        <color theme="1"/>
        <rFont val="Arial Narrow"/>
        <family val="2"/>
        <charset val="204"/>
      </rPr>
      <t>чужд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чужд език, </t>
    </r>
    <r>
      <rPr>
        <b/>
        <sz val="12"/>
        <color theme="1"/>
        <rFont val="Arial Narrow"/>
        <family val="2"/>
        <charset val="204"/>
      </rPr>
      <t xml:space="preserve">ФЧЕ – </t>
    </r>
    <r>
      <rPr>
        <sz val="12"/>
        <color theme="1"/>
        <rFont val="Arial Narrow"/>
        <family val="2"/>
        <charset val="204"/>
      </rPr>
      <t>чуждоезикова филология) – Посочете езика на обучение, съгласно учебния план на специалността. Опцията</t>
    </r>
    <r>
      <rPr>
        <b/>
        <sz val="12"/>
        <color theme="1"/>
        <rFont val="Arial Narrow"/>
        <family val="2"/>
        <charset val="204"/>
      </rPr>
      <t xml:space="preserve"> ФЧЕ</t>
    </r>
    <r>
      <rPr>
        <sz val="12"/>
        <color theme="1"/>
        <rFont val="Arial Narrow"/>
        <family val="2"/>
        <charset val="204"/>
      </rPr>
      <t xml:space="preserve"> се посочва в случаите, при които по учебен план е предвидено обучение на български език, но спецификата на дисциплината предполага преподаване на чужд език.</t>
    </r>
  </si>
  <si>
    <r>
      <rPr>
        <b/>
        <sz val="12"/>
        <rFont val="Arial Narrow"/>
        <family val="2"/>
        <charset val="204"/>
      </rPr>
      <t>Форма</t>
    </r>
    <r>
      <rPr>
        <sz val="12"/>
        <rFont val="Arial Narrow"/>
        <family val="2"/>
        <charset val="204"/>
      </rPr>
      <t xml:space="preserve"> (</t>
    </r>
    <r>
      <rPr>
        <b/>
        <sz val="12"/>
        <rFont val="Arial Narrow"/>
        <family val="2"/>
        <charset val="204"/>
      </rPr>
      <t>р.об.</t>
    </r>
    <r>
      <rPr>
        <sz val="12"/>
        <rFont val="Arial Narrow"/>
        <family val="2"/>
        <charset val="204"/>
      </rPr>
      <t xml:space="preserve"> – редовно обучение,</t>
    </r>
    <r>
      <rPr>
        <b/>
        <sz val="12"/>
        <rFont val="Arial Narrow"/>
        <family val="2"/>
        <charset val="204"/>
      </rPr>
      <t xml:space="preserve"> з.об.</t>
    </r>
    <r>
      <rPr>
        <sz val="12"/>
        <rFont val="Arial Narrow"/>
        <family val="2"/>
        <charset val="204"/>
      </rPr>
      <t xml:space="preserve"> – задочно обучение, </t>
    </r>
    <r>
      <rPr>
        <b/>
        <sz val="12"/>
        <rFont val="Arial Narrow"/>
        <family val="2"/>
        <charset val="204"/>
      </rPr>
      <t>д.об.</t>
    </r>
    <r>
      <rPr>
        <sz val="12"/>
        <rFont val="Arial Narrow"/>
        <family val="2"/>
        <charset val="204"/>
      </rPr>
      <t xml:space="preserve"> – дистанционно обучение, </t>
    </r>
    <r>
      <rPr>
        <b/>
        <sz val="12"/>
        <rFont val="Arial Narrow"/>
        <family val="2"/>
        <charset val="204"/>
      </rPr>
      <t>ИП</t>
    </r>
    <r>
      <rPr>
        <sz val="12"/>
        <rFont val="Arial Narrow"/>
        <family val="2"/>
        <charset val="204"/>
      </rPr>
      <t xml:space="preserve"> – обучение по индивидуален план) – Посочете формата на обучение</t>
    </r>
  </si>
  <si>
    <r>
      <rPr>
        <b/>
        <sz val="12"/>
        <color theme="1"/>
        <rFont val="Arial Narrow"/>
        <family val="2"/>
        <charset val="204"/>
      </rPr>
      <t>Форма на оценяване</t>
    </r>
    <r>
      <rPr>
        <sz val="12"/>
        <color theme="1"/>
        <rFont val="Arial Narrow"/>
        <family val="2"/>
        <charset val="204"/>
      </rPr>
      <t xml:space="preserve"> (</t>
    </r>
    <r>
      <rPr>
        <b/>
        <sz val="12"/>
        <color theme="1"/>
        <rFont val="Arial Narrow"/>
        <family val="2"/>
        <charset val="204"/>
      </rPr>
      <t>Изпит</t>
    </r>
    <r>
      <rPr>
        <sz val="12"/>
        <color theme="1"/>
        <rFont val="Arial Narrow"/>
        <family val="2"/>
        <charset val="204"/>
      </rPr>
      <t xml:space="preserve"> </t>
    </r>
    <r>
      <rPr>
        <b/>
        <sz val="12"/>
        <color theme="1"/>
        <rFont val="Arial Narrow"/>
        <family val="2"/>
        <charset val="204"/>
      </rPr>
      <t>–</t>
    </r>
    <r>
      <rPr>
        <sz val="12"/>
        <color theme="1"/>
        <rFont val="Arial Narrow"/>
        <family val="2"/>
        <charset val="204"/>
      </rPr>
      <t xml:space="preserve"> изпит, </t>
    </r>
    <r>
      <rPr>
        <b/>
        <sz val="12"/>
        <color theme="1"/>
        <rFont val="Arial Narrow"/>
        <family val="2"/>
        <charset val="204"/>
      </rPr>
      <t>ТО –</t>
    </r>
    <r>
      <rPr>
        <sz val="12"/>
        <color theme="1"/>
        <rFont val="Arial Narrow"/>
        <family val="2"/>
        <charset val="204"/>
      </rPr>
      <t xml:space="preserve"> текущо оценяване, </t>
    </r>
    <r>
      <rPr>
        <b/>
        <sz val="12"/>
        <color theme="1"/>
        <rFont val="Arial Narrow"/>
        <family val="2"/>
        <charset val="204"/>
      </rPr>
      <t>КИ</t>
    </r>
    <r>
      <rPr>
        <sz val="12"/>
        <color theme="1"/>
        <rFont val="Arial Narrow"/>
        <family val="2"/>
        <charset val="204"/>
      </rPr>
      <t xml:space="preserve"> – комбинирано изпитване, </t>
    </r>
    <r>
      <rPr>
        <b/>
        <sz val="12"/>
        <color theme="1"/>
        <rFont val="Arial Narrow"/>
        <family val="2"/>
        <charset val="204"/>
      </rPr>
      <t>прод.</t>
    </r>
    <r>
      <rPr>
        <sz val="12"/>
        <color theme="1"/>
        <rFont val="Arial Narrow"/>
        <family val="2"/>
        <charset val="204"/>
      </rPr>
      <t xml:space="preserve"> – продължава в следващ семестър) – Посочете предвиденото по учебен план за съответната дисциплина и семестър.</t>
    </r>
  </si>
  <si>
    <t>ФСлФ</t>
  </si>
  <si>
    <r>
      <rPr>
        <b/>
        <sz val="11"/>
        <color theme="1"/>
        <rFont val="Calibri"/>
        <family val="2"/>
        <charset val="204"/>
        <scheme val="minor"/>
      </rPr>
      <t>Учебна и педагогическа практика:</t>
    </r>
    <r>
      <rPr>
        <sz val="11"/>
        <color theme="1"/>
        <rFont val="Calibri"/>
        <family val="2"/>
        <scheme val="minor"/>
      </rPr>
      <t xml:space="preserve">
   *</t>
    </r>
    <r>
      <rPr>
        <b/>
        <sz val="11"/>
        <color theme="1"/>
        <rFont val="Calibri"/>
        <family val="2"/>
        <charset val="204"/>
        <scheme val="minor"/>
      </rPr>
      <t xml:space="preserve"> Вид практика</t>
    </r>
    <r>
      <rPr>
        <sz val="11"/>
        <color theme="1"/>
        <rFont val="Calibri"/>
        <family val="2"/>
        <scheme val="minor"/>
      </rPr>
      <t xml:space="preserve"> (Изберете вида практика и въведете броя на групите и/или дните в полетата група и/или ден, според проведената практика):
     </t>
    </r>
    <r>
      <rPr>
        <b/>
        <sz val="11"/>
        <color theme="1"/>
        <rFont val="Calibri"/>
        <family val="2"/>
        <charset val="204"/>
        <scheme val="minor"/>
      </rPr>
      <t>1. Хоспитиране</t>
    </r>
    <r>
      <rPr>
        <sz val="11"/>
        <color theme="1"/>
        <rFont val="Calibri"/>
        <family val="2"/>
        <scheme val="minor"/>
      </rPr>
      <t xml:space="preserve"> (Хоспитиране) – </t>
    </r>
    <r>
      <rPr>
        <sz val="11"/>
        <color theme="1"/>
        <rFont val="Calibri"/>
        <family val="2"/>
        <charset val="204"/>
        <scheme val="minor"/>
      </rPr>
      <t>30</t>
    </r>
    <r>
      <rPr>
        <sz val="11"/>
        <color theme="1"/>
        <rFont val="Calibri"/>
        <family val="2"/>
        <scheme val="minor"/>
      </rPr>
      <t xml:space="preserve"> ч. урп. за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2. Текуща педагог. п-ка</t>
    </r>
    <r>
      <rPr>
        <sz val="11"/>
        <color theme="1"/>
        <rFont val="Calibri"/>
        <family val="2"/>
        <scheme val="minor"/>
      </rPr>
      <t xml:space="preserve"> (Текуща педагогическа практика) – 60 ч. упр. за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3. Научно-произв. п-ка</t>
    </r>
    <r>
      <rPr>
        <sz val="11"/>
        <color theme="1"/>
        <rFont val="Calibri"/>
        <family val="2"/>
        <scheme val="minor"/>
      </rPr>
      <t xml:space="preserve"> (Научно-производствена практика) – 3 ч. упр. на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Преддипл. стаж/п-ка</t>
    </r>
    <r>
      <rPr>
        <sz val="11"/>
        <color theme="1"/>
        <rFont val="Calibri"/>
        <family val="2"/>
        <scheme val="minor"/>
      </rPr>
      <t xml:space="preserve"> (Преддипломен стаж/практика по учебен план) – 3 ч. упр. на </t>
    </r>
    <r>
      <rPr>
        <b/>
        <i/>
        <sz val="11"/>
        <color theme="1"/>
        <rFont val="Calibri"/>
        <family val="2"/>
        <charset val="204"/>
        <scheme val="minor"/>
      </rPr>
      <t>група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5. Теренна п-ка</t>
    </r>
    <r>
      <rPr>
        <sz val="11"/>
        <color theme="1"/>
        <rFont val="Calibri"/>
        <family val="2"/>
        <scheme val="minor"/>
      </rPr>
      <t xml:space="preserve">  (Теренна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), </t>
    </r>
    <r>
      <rPr>
        <b/>
        <sz val="11"/>
        <color theme="1"/>
        <rFont val="Calibri"/>
        <family val="2"/>
        <charset val="204"/>
        <scheme val="minor"/>
      </rPr>
      <t>6. Лятна п-ка</t>
    </r>
    <r>
      <rPr>
        <sz val="11"/>
        <color theme="1"/>
        <rFont val="Calibri"/>
        <family val="2"/>
        <scheme val="minor"/>
      </rPr>
      <t xml:space="preserve"> (Лятна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7. Учебно-спортна п-ка</t>
    </r>
    <r>
      <rPr>
        <sz val="11"/>
        <color theme="1"/>
        <rFont val="Calibri"/>
        <family val="2"/>
        <scheme val="minor"/>
      </rPr>
      <t xml:space="preserve"> (Учебно-спортна практика) – 4 ч. упр. на </t>
    </r>
    <r>
      <rPr>
        <b/>
        <i/>
        <sz val="11"/>
        <color theme="1"/>
        <rFont val="Calibri"/>
        <family val="2"/>
        <charset val="204"/>
        <scheme val="minor"/>
      </rPr>
      <t>ден.</t>
    </r>
  </si>
  <si>
    <t>Админ.</t>
  </si>
  <si>
    <r>
      <rPr>
        <b/>
        <sz val="12"/>
        <rFont val="Arial Narrow"/>
        <family val="2"/>
      </rPr>
      <t>Курс</t>
    </r>
    <r>
      <rPr>
        <sz val="12"/>
        <rFont val="Arial Narrow"/>
        <family val="2"/>
      </rPr>
      <t xml:space="preserve"> - Въведете курса на студентите, слушащи преподаваната от Вас дисциплина.</t>
    </r>
  </si>
  <si>
    <r>
      <rPr>
        <b/>
        <sz val="12"/>
        <rFont val="Arial Narrow"/>
        <family val="2"/>
      </rPr>
      <t>Форма на обучение</t>
    </r>
    <r>
      <rPr>
        <sz val="12"/>
        <rFont val="Arial Narrow"/>
        <family val="2"/>
      </rPr>
      <t xml:space="preserve"> (</t>
    </r>
    <r>
      <rPr>
        <b/>
        <sz val="12"/>
        <rFont val="Arial Narrow"/>
        <family val="2"/>
      </rPr>
      <t>р.об.</t>
    </r>
    <r>
      <rPr>
        <sz val="12"/>
        <rFont val="Arial Narrow"/>
        <family val="2"/>
      </rPr>
      <t xml:space="preserve"> - редовно обучение,</t>
    </r>
    <r>
      <rPr>
        <b/>
        <sz val="12"/>
        <rFont val="Arial Narrow"/>
        <family val="2"/>
      </rPr>
      <t xml:space="preserve"> з.об.</t>
    </r>
    <r>
      <rPr>
        <sz val="12"/>
        <rFont val="Arial Narrow"/>
        <family val="2"/>
      </rPr>
      <t xml:space="preserve"> - задочно обучение, </t>
    </r>
    <r>
      <rPr>
        <b/>
        <sz val="12"/>
        <rFont val="Arial Narrow"/>
        <family val="2"/>
      </rPr>
      <t>д.об.</t>
    </r>
    <r>
      <rPr>
        <sz val="12"/>
        <rFont val="Arial Narrow"/>
        <family val="2"/>
      </rPr>
      <t xml:space="preserve"> - дистанционно обучение, </t>
    </r>
    <r>
      <rPr>
        <b/>
        <sz val="12"/>
        <rFont val="Arial Narrow"/>
        <family val="2"/>
      </rPr>
      <t>ИП</t>
    </r>
    <r>
      <rPr>
        <sz val="12"/>
        <rFont val="Arial Narrow"/>
        <family val="2"/>
      </rPr>
      <t xml:space="preserve"> - обучение по индивидуален план) – Изберете формата на обучение.</t>
    </r>
  </si>
  <si>
    <r>
      <rPr>
        <b/>
        <sz val="11"/>
        <color theme="1"/>
        <rFont val="Arial Narrow"/>
        <family val="2"/>
        <charset val="204"/>
      </rPr>
      <t>ОКС</t>
    </r>
    <r>
      <rPr>
        <sz val="11"/>
        <color theme="1"/>
        <rFont val="Arial Narrow"/>
        <family val="2"/>
        <charset val="204"/>
      </rPr>
      <t xml:space="preserve"> – Посочете образователно-квалификационната степен: бакалавър или магистър. В случай, че курсът е включен в учебните планове на програми за обучение и за ОКС "бакалавър", и за ОКС "магистър", посочете "няколко".</t>
    </r>
  </si>
  <si>
    <r>
      <rPr>
        <b/>
        <sz val="11"/>
        <color theme="1"/>
        <rFont val="Arial Narrow"/>
        <family val="2"/>
        <charset val="204"/>
      </rPr>
      <t>Специалност / Магистърска програма</t>
    </r>
    <r>
      <rPr>
        <sz val="11"/>
        <color theme="1"/>
        <rFont val="Arial Narrow"/>
        <family val="2"/>
        <charset val="204"/>
      </rPr>
      <t xml:space="preserve"> – Посочете пълното наименование на програмите за обучение, в които е включен курса.</t>
    </r>
  </si>
  <si>
    <r>
      <rPr>
        <b/>
        <sz val="11"/>
        <color theme="1"/>
        <rFont val="Arial Narrow"/>
        <family val="2"/>
        <charset val="204"/>
      </rPr>
      <t>Факултет</t>
    </r>
    <r>
      <rPr>
        <sz val="11"/>
        <color theme="1"/>
        <rFont val="Arial Narrow"/>
        <family val="2"/>
        <charset val="204"/>
      </rPr>
      <t xml:space="preserve"> – Посочете факултета, в чийто учебен план е включен курсът. В случай, че курсът е включен в няколко учебни плана към няколко факултета, можете да посочите "няколко".</t>
    </r>
  </si>
  <si>
    <r>
      <t xml:space="preserve">Форма на обучение (р.об. </t>
    </r>
    <r>
      <rPr>
        <sz val="11"/>
        <color theme="1"/>
        <rFont val="Arial Narrow"/>
        <family val="2"/>
        <charset val="204"/>
      </rPr>
      <t>- редовно обучение,</t>
    </r>
    <r>
      <rPr>
        <b/>
        <sz val="11"/>
        <color theme="1"/>
        <rFont val="Arial Narrow"/>
        <family val="2"/>
        <charset val="204"/>
      </rPr>
      <t xml:space="preserve"> з.об. </t>
    </r>
    <r>
      <rPr>
        <sz val="11"/>
        <color theme="1"/>
        <rFont val="Arial Narrow"/>
        <family val="2"/>
        <charset val="204"/>
      </rPr>
      <t>- задочно обучение,</t>
    </r>
    <r>
      <rPr>
        <b/>
        <sz val="11"/>
        <color theme="1"/>
        <rFont val="Arial Narrow"/>
        <family val="2"/>
        <charset val="204"/>
      </rPr>
      <t xml:space="preserve"> д.об.</t>
    </r>
    <r>
      <rPr>
        <sz val="11"/>
        <color theme="1"/>
        <rFont val="Arial Narrow"/>
        <family val="2"/>
        <charset val="204"/>
      </rPr>
      <t xml:space="preserve"> - дистанционно обучение,</t>
    </r>
    <r>
      <rPr>
        <b/>
        <sz val="11"/>
        <color theme="1"/>
        <rFont val="Arial Narrow"/>
        <family val="2"/>
        <charset val="204"/>
      </rPr>
      <t xml:space="preserve"> ИП </t>
    </r>
    <r>
      <rPr>
        <sz val="11"/>
        <color theme="1"/>
        <rFont val="Arial Narrow"/>
        <family val="2"/>
        <charset val="204"/>
      </rPr>
      <t>- обучение по индивидуален план</t>
    </r>
    <r>
      <rPr>
        <b/>
        <sz val="11"/>
        <color theme="1"/>
        <rFont val="Arial Narrow"/>
        <family val="2"/>
        <charset val="204"/>
      </rPr>
      <t xml:space="preserve">) – ЗАДЪЛЖИТЕЛНО </t>
    </r>
    <r>
      <rPr>
        <sz val="11"/>
        <color theme="1"/>
        <rFont val="Arial Narrow"/>
        <family val="2"/>
        <charset val="204"/>
      </rPr>
      <t>посочете формата на обучение</t>
    </r>
    <r>
      <rPr>
        <b/>
        <sz val="11"/>
        <color theme="1"/>
        <rFont val="Arial Narrow"/>
        <family val="2"/>
        <charset val="204"/>
      </rPr>
      <t>.</t>
    </r>
  </si>
  <si>
    <r>
      <rPr>
        <b/>
        <sz val="11"/>
        <color theme="1"/>
        <rFont val="Arial Narrow"/>
        <family val="2"/>
        <charset val="204"/>
      </rPr>
      <t>Вид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З</t>
    </r>
    <r>
      <rPr>
        <sz val="11"/>
        <color theme="1"/>
        <rFont val="Arial Narrow"/>
        <family val="2"/>
        <charset val="204"/>
      </rPr>
      <t xml:space="preserve"> - задължителен, </t>
    </r>
    <r>
      <rPr>
        <b/>
        <sz val="11"/>
        <color theme="1"/>
        <rFont val="Arial Narrow"/>
        <family val="2"/>
        <charset val="204"/>
      </rPr>
      <t>И</t>
    </r>
    <r>
      <rPr>
        <sz val="11"/>
        <color theme="1"/>
        <rFont val="Arial Narrow"/>
        <family val="2"/>
        <charset val="204"/>
      </rPr>
      <t xml:space="preserve"> - избираем и </t>
    </r>
    <r>
      <rPr>
        <b/>
        <sz val="11"/>
        <color theme="1"/>
        <rFont val="Arial Narrow"/>
        <family val="2"/>
        <charset val="204"/>
      </rPr>
      <t>Ф</t>
    </r>
    <r>
      <rPr>
        <sz val="11"/>
        <color theme="1"/>
        <rFont val="Arial Narrow"/>
        <family val="2"/>
        <charset val="204"/>
      </rPr>
      <t xml:space="preserve"> - факултативен) – Посочете вида на курса.</t>
    </r>
  </si>
  <si>
    <r>
      <rPr>
        <b/>
        <sz val="11"/>
        <color theme="1"/>
        <rFont val="Arial Narrow"/>
        <family val="2"/>
        <charset val="204"/>
      </rPr>
      <t>Лекции, Семинарни упр., Практически упр.</t>
    </r>
    <r>
      <rPr>
        <sz val="11"/>
        <color theme="1"/>
        <rFont val="Arial Narrow"/>
        <family val="2"/>
        <charset val="204"/>
      </rPr>
      <t xml:space="preserve"> – Посочете предвидения по съответната дисциплина хорариум.</t>
    </r>
  </si>
  <si>
    <t>ел. учебни ресурси</t>
  </si>
  <si>
    <t>пФормаОб</t>
  </si>
  <si>
    <t>пСеместър</t>
  </si>
  <si>
    <r>
      <rPr>
        <b/>
        <sz val="11"/>
        <color theme="1"/>
        <rFont val="Arial Narrow"/>
        <family val="2"/>
        <charset val="204"/>
      </rPr>
      <t>Семестър</t>
    </r>
    <r>
      <rPr>
        <sz val="11"/>
        <color theme="1"/>
        <rFont val="Arial Narrow"/>
        <family val="2"/>
        <charset val="204"/>
      </rPr>
      <t xml:space="preserve"> – Посочете семестъра, от който стартира предлагането на разработения курс - зимен или летен. В случай, че оставите полето празно, дейността няма да се калкулира.</t>
    </r>
  </si>
  <si>
    <r>
      <rPr>
        <b/>
        <sz val="11"/>
        <color theme="1"/>
        <rFont val="Arial Narrow"/>
        <family val="2"/>
        <charset val="204"/>
      </rPr>
      <t>Дейност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нов курс</t>
    </r>
    <r>
      <rPr>
        <sz val="11"/>
        <color theme="1"/>
        <rFont val="Arial Narrow"/>
        <family val="2"/>
        <charset val="204"/>
      </rPr>
      <t xml:space="preserve"> – подготовка/дизайн на нов курс, </t>
    </r>
    <r>
      <rPr>
        <b/>
        <sz val="11"/>
        <color theme="1"/>
        <rFont val="Arial Narrow"/>
        <family val="2"/>
        <charset val="204"/>
      </rPr>
      <t>ел. учебни ресурси</t>
    </r>
    <r>
      <rPr>
        <sz val="11"/>
        <color theme="1"/>
        <rFont val="Arial Narrow"/>
        <family val="2"/>
        <charset val="204"/>
      </rPr>
      <t xml:space="preserve"> – подготовка/дизайн на електронни учебни ресурси за нов курс, </t>
    </r>
    <r>
      <rPr>
        <b/>
        <sz val="11"/>
        <color theme="1"/>
        <rFont val="Arial Narrow"/>
        <family val="2"/>
        <charset val="204"/>
      </rPr>
      <t>актуализация</t>
    </r>
    <r>
      <rPr>
        <sz val="11"/>
        <color theme="1"/>
        <rFont val="Arial Narrow"/>
        <family val="2"/>
        <charset val="204"/>
      </rPr>
      <t xml:space="preserve"> – актуализация на курс) – Посочете дейността, която планирате.</t>
    </r>
  </si>
  <si>
    <r>
      <rPr>
        <b/>
        <sz val="12"/>
        <color theme="1"/>
        <rFont val="Arial Narrow"/>
        <family val="2"/>
        <charset val="204"/>
      </rPr>
      <t>Брой участници в екип</t>
    </r>
    <r>
      <rPr>
        <sz val="11"/>
        <color theme="1"/>
        <rFont val="Arial Narrow"/>
        <family val="2"/>
        <charset val="204"/>
      </rPr>
      <t xml:space="preserve"> – Посочете броя участници в екипа, подготвящ курса/електронните учебни материали. В общия брой не се включват лицата, които са ангажирани единствено с административни дейности.
</t>
    </r>
    <r>
      <rPr>
        <b/>
        <u/>
        <sz val="11"/>
        <color rgb="FFFF0000"/>
        <rFont val="Arial Narrow"/>
        <family val="2"/>
        <charset val="204"/>
      </rPr>
      <t>За да се калкулира заетостта Ви по дейността, посоченият брой участници в екип трябва да е по-голям или равен на 1!</t>
    </r>
  </si>
  <si>
    <r>
      <rPr>
        <b/>
        <sz val="12"/>
        <color theme="1"/>
        <rFont val="Arial Narrow"/>
        <family val="2"/>
        <charset val="204"/>
      </rPr>
      <t xml:space="preserve">Дисциплина / Наименование на курс </t>
    </r>
    <r>
      <rPr>
        <sz val="11"/>
        <color theme="1"/>
        <rFont val="Arial Narrow"/>
        <family val="2"/>
        <charset val="204"/>
      </rPr>
      <t>– Посочете пълното наименование на дисциплината/курса.</t>
    </r>
  </si>
  <si>
    <t>Брой кандДок</t>
  </si>
  <si>
    <t>Програма</t>
  </si>
  <si>
    <r>
      <rPr>
        <b/>
        <i/>
        <sz val="11"/>
        <rFont val="Arial"/>
        <family val="2"/>
        <charset val="204"/>
      </rPr>
      <t>***</t>
    </r>
    <r>
      <rPr>
        <i/>
        <sz val="11"/>
        <rFont val="Arial"/>
        <family val="2"/>
        <charset val="204"/>
      </rPr>
      <t xml:space="preserve"> Часовете могат да бъдат отчетени като аудиторна заетост по този ред, ако вече не са включени в ред 2. Упражнения.</t>
    </r>
  </si>
  <si>
    <r>
      <rPr>
        <b/>
        <sz val="12"/>
        <color theme="1"/>
        <rFont val="Arial Narrow"/>
        <family val="2"/>
        <charset val="204"/>
      </rPr>
      <t>Специалност</t>
    </r>
    <r>
      <rPr>
        <sz val="12"/>
        <color theme="1"/>
        <rFont val="Arial Narrow"/>
        <family val="2"/>
        <charset val="204"/>
      </rPr>
      <t xml:space="preserve"> - Попълнете специалността, в която преподавате съответната дисциплина.  
При преподаване в поток, можете да добавите допълнителни пояснения в графата. В този случай, подробно попълнете и </t>
    </r>
    <r>
      <rPr>
        <b/>
        <sz val="12"/>
        <color theme="1"/>
        <rFont val="Arial Narrow"/>
        <family val="2"/>
        <charset val="204"/>
      </rPr>
      <t>таблица 4. Слети четения и четения в поток.</t>
    </r>
    <r>
      <rPr>
        <sz val="12"/>
        <color theme="1"/>
        <rFont val="Arial Narrow"/>
        <family val="2"/>
        <charset val="204"/>
      </rPr>
      <t xml:space="preserve">
При преподаване по индивидуален уч. план, запишете това в графата.
При включени студенти по програма "Еразъм", може да добавите допълнително пояснение за това в графата. В този случай, подробно попълнете и </t>
    </r>
    <r>
      <rPr>
        <b/>
        <sz val="12"/>
        <color theme="1"/>
        <rFont val="Arial Narrow"/>
        <family val="2"/>
        <charset val="204"/>
      </rPr>
      <t>таблица 4. Слети четения и четения в поток.</t>
    </r>
  </si>
  <si>
    <r>
      <rPr>
        <b/>
        <sz val="12"/>
        <color theme="1"/>
        <rFont val="Arial Narrow"/>
        <family val="2"/>
        <charset val="204"/>
      </rPr>
      <t>Факултет</t>
    </r>
    <r>
      <rPr>
        <sz val="12"/>
        <color theme="1"/>
        <rFont val="Arial Narrow"/>
        <family val="2"/>
        <charset val="204"/>
      </rPr>
      <t xml:space="preserve"> - Посочете факултета, към който е специалността, в която преподавате.
При преподаване в поток с включени студенти от няколко факултета, изберете опцията "Няколко". В този случай, подробно попълнете таблица </t>
    </r>
    <r>
      <rPr>
        <b/>
        <sz val="12"/>
        <color theme="1"/>
        <rFont val="Arial Narrow"/>
        <family val="2"/>
        <charset val="204"/>
      </rPr>
      <t xml:space="preserve">таблица 4. Слети четения и четения </t>
    </r>
    <r>
      <rPr>
        <b/>
        <sz val="12"/>
        <rFont val="Arial Narrow"/>
        <family val="2"/>
        <charset val="204"/>
      </rPr>
      <t>в поток</t>
    </r>
    <r>
      <rPr>
        <b/>
        <sz val="12"/>
        <color rgb="FF0070C0"/>
        <rFont val="Arial Narrow"/>
        <family val="2"/>
        <charset val="204"/>
      </rPr>
      <t>.</t>
    </r>
  </si>
  <si>
    <r>
      <rPr>
        <b/>
        <sz val="12"/>
        <rFont val="Arial Narrow"/>
        <family val="2"/>
        <charset val="204"/>
      </rPr>
      <t xml:space="preserve">Студенти бр. </t>
    </r>
    <r>
      <rPr>
        <sz val="12"/>
        <rFont val="Arial Narrow"/>
        <family val="2"/>
        <charset val="204"/>
      </rPr>
      <t xml:space="preserve">– ЗАДЪЛЖИТЕЛНО посочете броя студенти в потока/групата. При преподаване в поток, задължително попълнете и </t>
    </r>
    <r>
      <rPr>
        <b/>
        <sz val="12"/>
        <rFont val="Arial Narrow"/>
        <family val="2"/>
        <charset val="204"/>
      </rPr>
      <t>таблица 4. Слети четения и четения в поток.</t>
    </r>
  </si>
  <si>
    <r>
      <rPr>
        <b/>
        <sz val="12"/>
        <color theme="1"/>
        <rFont val="Arial Narrow"/>
        <family val="2"/>
      </rPr>
      <t>Магистърска програма</t>
    </r>
    <r>
      <rPr>
        <sz val="12"/>
        <color theme="1"/>
        <rFont val="Arial Narrow"/>
        <family val="2"/>
      </rPr>
      <t xml:space="preserve"> - Попълнете магистърската програма, в която преподавате съответната дисциплина.  
В случай на слети четения или при преподаване в поток, посочете слети четения, можете да добавите допълнителни пояснения в графата. В този случай, подробно попълнете</t>
    </r>
    <r>
      <rPr>
        <b/>
        <sz val="12"/>
        <color theme="1"/>
        <rFont val="Arial Narrow"/>
        <family val="2"/>
      </rPr>
      <t xml:space="preserve"> таблица 4. Слети четения и четения в поток</t>
    </r>
    <r>
      <rPr>
        <sz val="12"/>
        <color theme="1"/>
        <rFont val="Arial Narrow"/>
        <family val="2"/>
      </rPr>
      <t>.
При преподаване по индивидуален учебен план, запишете това в графата.
При включени студенти по програма "Еразъм", може да добавите допълнително пояснение за това в графата. В този случай, подробно попълнете и</t>
    </r>
    <r>
      <rPr>
        <b/>
        <sz val="12"/>
        <rFont val="Arial Narrow"/>
        <family val="2"/>
      </rPr>
      <t xml:space="preserve"> таблица 4. Слети четения и четения в поток</t>
    </r>
    <r>
      <rPr>
        <b/>
        <sz val="12"/>
        <color theme="1"/>
        <rFont val="Arial Narrow"/>
        <family val="2"/>
      </rPr>
      <t>.</t>
    </r>
  </si>
  <si>
    <r>
      <rPr>
        <b/>
        <sz val="12"/>
        <color theme="1"/>
        <rFont val="Arial Narrow"/>
        <family val="2"/>
      </rPr>
      <t>Факултет</t>
    </r>
    <r>
      <rPr>
        <sz val="12"/>
        <color theme="1"/>
        <rFont val="Arial Narrow"/>
        <family val="2"/>
      </rPr>
      <t xml:space="preserve"> - Посочете факултета, към който е програмата, в която преподавате.
При преподаване в поток с включени студенти от няколко факултета, изберете опцията "Няколко". В този случай, подробно попълнете </t>
    </r>
    <r>
      <rPr>
        <b/>
        <sz val="12"/>
        <color theme="1"/>
        <rFont val="Arial Narrow"/>
        <family val="2"/>
      </rPr>
      <t>таблица 4. Слети четения и четения в поток.</t>
    </r>
  </si>
  <si>
    <r>
      <rPr>
        <b/>
        <sz val="12"/>
        <rFont val="Arial Narrow"/>
        <family val="2"/>
      </rPr>
      <t>Вид</t>
    </r>
    <r>
      <rPr>
        <sz val="12"/>
        <rFont val="Arial Narrow"/>
        <family val="2"/>
      </rPr>
      <t xml:space="preserve"> </t>
    </r>
    <r>
      <rPr>
        <sz val="12"/>
        <rFont val="Arial Narrow"/>
        <family val="2"/>
        <charset val="204"/>
      </rPr>
      <t>(</t>
    </r>
    <r>
      <rPr>
        <b/>
        <sz val="12"/>
        <rFont val="Arial Narrow"/>
        <family val="2"/>
        <charset val="204"/>
      </rPr>
      <t xml:space="preserve">З </t>
    </r>
    <r>
      <rPr>
        <sz val="12"/>
        <rFont val="Arial Narrow"/>
        <family val="2"/>
        <charset val="204"/>
      </rPr>
      <t xml:space="preserve">- задължителна дисциплина, </t>
    </r>
    <r>
      <rPr>
        <b/>
        <sz val="12"/>
        <rFont val="Arial Narrow"/>
        <family val="2"/>
        <charset val="204"/>
      </rPr>
      <t xml:space="preserve">И </t>
    </r>
    <r>
      <rPr>
        <sz val="12"/>
        <rFont val="Arial Narrow"/>
        <family val="2"/>
        <charset val="204"/>
      </rPr>
      <t xml:space="preserve">- избираема дисциплина, </t>
    </r>
    <r>
      <rPr>
        <b/>
        <sz val="12"/>
        <rFont val="Arial Narrow"/>
        <family val="2"/>
        <charset val="204"/>
      </rPr>
      <t xml:space="preserve">Ф </t>
    </r>
    <r>
      <rPr>
        <sz val="12"/>
        <rFont val="Arial Narrow"/>
        <family val="2"/>
        <charset val="204"/>
      </rPr>
      <t>- факултативна дисциплина)</t>
    </r>
    <r>
      <rPr>
        <b/>
        <sz val="12"/>
        <rFont val="Arial Narrow"/>
        <family val="2"/>
      </rPr>
      <t xml:space="preserve"> </t>
    </r>
    <r>
      <rPr>
        <sz val="12"/>
        <rFont val="Arial Narrow"/>
        <family val="2"/>
      </rPr>
      <t xml:space="preserve">- ЗАДЪЛЖИТЕЛНО посочете вида на дисциплината, съгласно учебния план на специалността.
При преподаване в поток, опцията </t>
    </r>
    <r>
      <rPr>
        <b/>
        <sz val="12"/>
        <rFont val="Arial Narrow"/>
        <family val="2"/>
      </rPr>
      <t>З</t>
    </r>
    <r>
      <rPr>
        <sz val="12"/>
        <rFont val="Arial Narrow"/>
        <family val="2"/>
      </rPr>
      <t xml:space="preserve"> се посочва, ако за поне една от специалностите/магистърските програми, включени в потока дисциплината е задължителна. В този случай, подробно попълнете </t>
    </r>
    <r>
      <rPr>
        <b/>
        <sz val="12"/>
        <rFont val="Arial Narrow"/>
        <family val="2"/>
      </rPr>
      <t>таблица 4. Слети четения и четения в поток.</t>
    </r>
  </si>
  <si>
    <r>
      <rPr>
        <b/>
        <sz val="12"/>
        <rFont val="Arial Narrow"/>
        <family val="2"/>
      </rPr>
      <t xml:space="preserve">Студенти бр. </t>
    </r>
    <r>
      <rPr>
        <sz val="12"/>
        <rFont val="Arial Narrow"/>
        <family val="2"/>
      </rPr>
      <t xml:space="preserve">– ЗАДЪЛЖИТЕЛНО посочете броя студенти в потока/групата. При преподаване в поток, задължително попълнете и </t>
    </r>
    <r>
      <rPr>
        <b/>
        <sz val="12"/>
        <rFont val="Arial Narrow"/>
        <family val="2"/>
        <charset val="204"/>
      </rPr>
      <t>таблица 4. Слети четения и четения в поток</t>
    </r>
    <r>
      <rPr>
        <sz val="12"/>
        <rFont val="Arial Narrow"/>
        <family val="2"/>
      </rPr>
      <t>.</t>
    </r>
  </si>
  <si>
    <r>
      <rPr>
        <b/>
        <sz val="12"/>
        <rFont val="Arial Narrow"/>
        <family val="2"/>
      </rPr>
      <t>Дисциплина</t>
    </r>
    <r>
      <rPr>
        <sz val="12"/>
        <rFont val="Arial Narrow"/>
        <family val="2"/>
      </rPr>
      <t xml:space="preserve"> - Попълнете наименованието на преподаваната от Вас дисциплина. При необходимост, може да добавите допълнително пояснение (Пример: на английски език, по инд. план и др.)</t>
    </r>
  </si>
  <si>
    <r>
      <rPr>
        <b/>
        <sz val="12"/>
        <color theme="1"/>
        <rFont val="Arial Narrow"/>
        <family val="2"/>
        <charset val="204"/>
      </rPr>
      <t xml:space="preserve">   Учебна и педагогическа практика – </t>
    </r>
    <r>
      <rPr>
        <sz val="12"/>
        <color theme="1"/>
        <rFont val="Arial Narrow"/>
        <family val="2"/>
        <charset val="204"/>
      </rPr>
      <t xml:space="preserve">Попълват се полетата (Вид практика, Група и Ден), според вида практика.
    </t>
    </r>
    <r>
      <rPr>
        <sz val="12"/>
        <color rgb="FFFF0000"/>
        <rFont val="Arial Narrow"/>
        <family val="2"/>
        <charset val="204"/>
      </rPr>
      <t>(Пример: 1. изберете вида практика, 2. въведете броя на групите и/или дните в зависимост от проведената практика. След избиране на вида практика се попълва само поле с червен цвят – група и/или ден)</t>
    </r>
    <r>
      <rPr>
        <b/>
        <sz val="12"/>
        <color theme="1"/>
        <rFont val="Arial Narrow"/>
        <family val="2"/>
        <charset val="204"/>
      </rPr>
      <t xml:space="preserve">
  • Вид практика</t>
    </r>
    <r>
      <rPr>
        <sz val="12"/>
        <color theme="1"/>
        <rFont val="Arial Narrow"/>
        <family val="2"/>
        <charset val="204"/>
      </rPr>
      <t>:</t>
    </r>
    <r>
      <rPr>
        <sz val="11"/>
        <color theme="1"/>
        <rFont val="Arial Narrow"/>
        <family val="2"/>
        <charset val="204"/>
      </rPr>
      <t xml:space="preserve"> (</t>
    </r>
    <r>
      <rPr>
        <b/>
        <sz val="11"/>
        <color theme="1"/>
        <rFont val="Arial Narrow"/>
        <family val="2"/>
        <charset val="204"/>
      </rPr>
      <t>Хоспитиране</t>
    </r>
    <r>
      <rPr>
        <sz val="11"/>
        <color theme="1"/>
        <rFont val="Arial Narrow"/>
        <family val="2"/>
        <charset val="204"/>
      </rPr>
      <t xml:space="preserve">, </t>
    </r>
    <r>
      <rPr>
        <b/>
        <sz val="11"/>
        <color theme="1"/>
        <rFont val="Arial Narrow"/>
        <family val="2"/>
        <charset val="204"/>
      </rPr>
      <t>Текуща педагог. п-ка</t>
    </r>
    <r>
      <rPr>
        <sz val="11"/>
        <color theme="1"/>
        <rFont val="Arial Narrow"/>
        <family val="2"/>
        <charset val="204"/>
      </rPr>
      <t xml:space="preserve"> – Текуща педагогическа практика, </t>
    </r>
    <r>
      <rPr>
        <b/>
        <sz val="11"/>
        <color theme="1"/>
        <rFont val="Arial Narrow"/>
        <family val="2"/>
        <charset val="204"/>
      </rPr>
      <t>Научно-произв. п-ка</t>
    </r>
    <r>
      <rPr>
        <sz val="11"/>
        <color theme="1"/>
        <rFont val="Arial Narrow"/>
        <family val="2"/>
        <charset val="204"/>
      </rPr>
      <t xml:space="preserve"> – Научно-производствена практика,  </t>
    </r>
    <r>
      <rPr>
        <b/>
        <sz val="11"/>
        <color theme="1"/>
        <rFont val="Arial Narrow"/>
        <family val="2"/>
        <charset val="204"/>
      </rPr>
      <t>Преддипл. стаж/п-ка</t>
    </r>
    <r>
      <rPr>
        <sz val="11"/>
        <color theme="1"/>
        <rFont val="Arial Narrow"/>
        <family val="2"/>
        <charset val="204"/>
      </rPr>
      <t xml:space="preserve"> – Преддипломен стаж/практика по учебен план, </t>
    </r>
    <r>
      <rPr>
        <b/>
        <sz val="11"/>
        <color theme="1"/>
        <rFont val="Arial Narrow"/>
        <family val="2"/>
        <charset val="204"/>
      </rPr>
      <t xml:space="preserve">Теренна п-ка </t>
    </r>
    <r>
      <rPr>
        <sz val="11"/>
        <color theme="1"/>
        <rFont val="Arial Narrow"/>
        <family val="2"/>
        <charset val="204"/>
      </rPr>
      <t xml:space="preserve">– Теренна практика, </t>
    </r>
    <r>
      <rPr>
        <b/>
        <sz val="11"/>
        <color theme="1"/>
        <rFont val="Arial Narrow"/>
        <family val="2"/>
        <charset val="204"/>
      </rPr>
      <t xml:space="preserve"> Лятна п-ка</t>
    </r>
    <r>
      <rPr>
        <sz val="11"/>
        <color theme="1"/>
        <rFont val="Arial Narrow"/>
        <family val="2"/>
        <charset val="204"/>
      </rPr>
      <t xml:space="preserve"> – Лятна практика, </t>
    </r>
    <r>
      <rPr>
        <b/>
        <sz val="11"/>
        <color theme="1"/>
        <rFont val="Arial Narrow"/>
        <family val="2"/>
        <charset val="204"/>
      </rPr>
      <t xml:space="preserve">Учебно-спортна п-ка – </t>
    </r>
    <r>
      <rPr>
        <sz val="11"/>
        <color theme="1"/>
        <rFont val="Arial Narrow"/>
        <family val="2"/>
        <charset val="204"/>
      </rPr>
      <t>Учебно-спортна практика).</t>
    </r>
  </si>
  <si>
    <r>
      <rPr>
        <b/>
        <sz val="12"/>
        <color rgb="FFFF0000"/>
        <rFont val="Arial Narrow"/>
        <family val="2"/>
        <charset val="204"/>
      </rPr>
      <t>Проведени часове ЛЕКЦИИ и УПРАЖНЕНИЯ</t>
    </r>
    <r>
      <rPr>
        <sz val="12"/>
        <color rgb="FFFF0000"/>
        <rFont val="Arial Narrow"/>
        <family val="2"/>
        <charset val="204"/>
      </rPr>
      <t xml:space="preserve"> - посочете възложените/проведените часове. Не приравнявайте към часове упражнения! Не прилагайте коефициенти за по-малък брой студенти!</t>
    </r>
  </si>
  <si>
    <t>2019-2020-IO-1-FMI-OMI-XxxxxYyyyy</t>
  </si>
  <si>
    <r>
      <rPr>
        <b/>
        <sz val="11"/>
        <color theme="1"/>
        <rFont val="Arial"/>
        <family val="2"/>
        <charset val="204"/>
      </rPr>
      <t>2.</t>
    </r>
    <r>
      <rPr>
        <sz val="11"/>
        <color theme="1"/>
        <rFont val="Arial"/>
        <family val="2"/>
        <charset val="204"/>
      </rPr>
      <t xml:space="preserve"> За провеждане на лекции, по решение на ФС, студентите се разпределят в потоци.
В  зависимост от характера на курса и условията (капацитет и брой на аудиториите), максималният брой студенти в един поток не трябва да надвишава 140.
При специалности с брой на студентите по-малък от 50-60 и при налични условия, обучението да се извършва в един поток.
</t>
    </r>
    <r>
      <rPr>
        <b/>
        <sz val="11"/>
        <color theme="1"/>
        <rFont val="Arial"/>
        <family val="2"/>
        <charset val="204"/>
      </rPr>
      <t>3.</t>
    </r>
    <r>
      <rPr>
        <sz val="11"/>
        <color theme="1"/>
        <rFont val="Arial"/>
        <family val="2"/>
        <charset val="204"/>
      </rPr>
      <t xml:space="preserve"> Броят на студентите в една учебна група за провеждане на упражнения от “семинарен тип” е 20-22, като упражнения от “семинарен тип” са всички практически упражнения, извършването, на които не се нуждае от изследователска лабораторна апаратура.
</t>
    </r>
    <r>
      <rPr>
        <b/>
        <sz val="11"/>
        <color theme="1"/>
        <rFont val="Arial"/>
        <family val="2"/>
        <charset val="204"/>
      </rPr>
      <t xml:space="preserve">4а. </t>
    </r>
    <r>
      <rPr>
        <sz val="11"/>
        <color theme="1"/>
        <rFont val="Arial"/>
        <family val="2"/>
        <charset val="204"/>
      </rPr>
      <t>Броят на студентите в една група по предклинични дисциплини и лабораторни упражнения е 8-10 души.</t>
    </r>
    <r>
      <rPr>
        <b/>
        <sz val="11"/>
        <color theme="1"/>
        <rFont val="Arial"/>
        <family val="2"/>
        <charset val="204"/>
      </rPr>
      <t xml:space="preserve">
4б. </t>
    </r>
    <r>
      <rPr>
        <sz val="11"/>
        <color theme="1"/>
        <rFont val="Arial"/>
        <family val="2"/>
        <charset val="204"/>
      </rPr>
      <t xml:space="preserve">Броят на студентите в една група по хоспитиране и текуща педагогическа практика е 6-10 души.
</t>
    </r>
    <r>
      <rPr>
        <b/>
        <sz val="11"/>
        <color theme="1"/>
        <rFont val="Arial"/>
        <family val="2"/>
        <charset val="204"/>
      </rPr>
      <t>5.</t>
    </r>
    <r>
      <rPr>
        <sz val="11"/>
        <color theme="1"/>
        <rFont val="Arial"/>
        <family val="2"/>
        <charset val="204"/>
      </rPr>
      <t xml:space="preserve"> Броят на студентите в една клинична група е 4 – 5 души.
</t>
    </r>
    <r>
      <rPr>
        <b/>
        <sz val="11"/>
        <color theme="1"/>
        <rFont val="Arial"/>
        <family val="2"/>
        <charset val="204"/>
      </rPr>
      <t>6.</t>
    </r>
    <r>
      <rPr>
        <sz val="11"/>
        <color theme="1"/>
        <rFont val="Arial"/>
        <family val="2"/>
        <charset val="204"/>
      </rPr>
      <t xml:space="preserve"> Броят на студентите в група за чуждоезиково обучение е 12-15 души.</t>
    </r>
  </si>
  <si>
    <t>Преддипл. стаж/п-ка</t>
  </si>
  <si>
    <t/>
  </si>
  <si>
    <t>Бакалавър</t>
  </si>
  <si>
    <t>Магистър</t>
  </si>
  <si>
    <t>Доктор</t>
  </si>
  <si>
    <t>1. Семестър</t>
  </si>
  <si>
    <t>2. Sheets - Show, Hide</t>
  </si>
  <si>
    <t>3. Column - Show, Hide</t>
  </si>
  <si>
    <t>4. Rows - Show, Hide</t>
  </si>
  <si>
    <t>5. Table Header - Show, Hide</t>
  </si>
  <si>
    <t>Генериране на Шаблон</t>
  </si>
  <si>
    <t>Row_Бакалавър_План</t>
  </si>
  <si>
    <t>Row_Бакалавър_План_Hide</t>
  </si>
  <si>
    <t>Col_Hide_1_ОтчетЗЛ</t>
  </si>
  <si>
    <t>Col_Hide_1_План</t>
  </si>
  <si>
    <t>Col_Hide_2_ОКС_Бакалавър</t>
  </si>
  <si>
    <t>Col_Hide_3_ОКС_Магистър</t>
  </si>
  <si>
    <t>Col_Hide_4_ОНС_Доктор</t>
  </si>
  <si>
    <t>Col_Hide_5_Подготовка_курс</t>
  </si>
  <si>
    <t>Row_Бакалавър_Table_Header</t>
  </si>
  <si>
    <t>Row_Бакалавър_Зимен_семестър</t>
  </si>
  <si>
    <t>Row_Бакалавър_Летен_семестър</t>
  </si>
  <si>
    <t>Row_Магистър_Table_Header</t>
  </si>
  <si>
    <t>Row_Магистър_Зимен_семестър</t>
  </si>
  <si>
    <t>Row_Магистър_Летен_семестър</t>
  </si>
  <si>
    <t>Row_Магистър_План</t>
  </si>
  <si>
    <t>Row_Магистър_План_Hide</t>
  </si>
  <si>
    <t>План, Зимен, Летен, Септември</t>
  </si>
  <si>
    <t>h</t>
  </si>
  <si>
    <t>s</t>
  </si>
  <si>
    <t>ShowHide</t>
  </si>
  <si>
    <t>1. План</t>
  </si>
  <si>
    <t>2. ОКС "бакалавър"</t>
  </si>
  <si>
    <t>3. ОКС "магистър"</t>
  </si>
  <si>
    <t>4. ОНС "доктор"</t>
  </si>
  <si>
    <t>5. Подготовка на курс</t>
  </si>
  <si>
    <t>Зимен, Летен, Септември</t>
  </si>
  <si>
    <t>1. Отчет</t>
  </si>
  <si>
    <t>План, Зимен, Летен,</t>
  </si>
  <si>
    <t>Col</t>
  </si>
  <si>
    <t>Sheet</t>
  </si>
  <si>
    <t>Object</t>
  </si>
  <si>
    <t>Name</t>
  </si>
  <si>
    <t>0. Академична Година</t>
  </si>
  <si>
    <t>2020/2021</t>
  </si>
  <si>
    <t>2021/2022</t>
  </si>
  <si>
    <t>2022/2023</t>
  </si>
  <si>
    <t>Row</t>
  </si>
  <si>
    <t xml:space="preserve"> Летен</t>
  </si>
  <si>
    <t>Row_Бакалавър_Септември</t>
  </si>
  <si>
    <t>Row_Магистър_Септември</t>
  </si>
  <si>
    <t>Row_Магистър_Отчет_Hide</t>
  </si>
  <si>
    <t>Row_Бакалавър_Отчет_Hide</t>
  </si>
  <si>
    <t>Print</t>
  </si>
  <si>
    <t>set</t>
  </si>
  <si>
    <t>Print_2_Бакалавър_План</t>
  </si>
  <si>
    <t>Print_3_Магистър_План</t>
  </si>
  <si>
    <t>Print_2_Бакалавър_Зимен</t>
  </si>
  <si>
    <t>Print_3_Магистър_Зимен</t>
  </si>
  <si>
    <t>Print_2_Бакалавър_Летен</t>
  </si>
  <si>
    <t>Print_3_Магистър_Летен</t>
  </si>
  <si>
    <t>Print_2_Бакалавър_Септември</t>
  </si>
  <si>
    <t>Print_3_Магистър_Септември</t>
  </si>
  <si>
    <t>БгФ</t>
  </si>
  <si>
    <t>ДЕПАРТАМЕНТ ПО СПОРТ</t>
  </si>
  <si>
    <t>кДейност</t>
  </si>
  <si>
    <t>кЧасове</t>
  </si>
  <si>
    <t>код</t>
  </si>
  <si>
    <t>пПразни</t>
  </si>
  <si>
    <t>уФорматиране</t>
  </si>
  <si>
    <t>пЛ_У</t>
  </si>
  <si>
    <t>пДисциплина</t>
  </si>
  <si>
    <t>пДокторанти</t>
  </si>
  <si>
    <t>чУпр</t>
  </si>
  <si>
    <t>Row_Бакалавър_Hide</t>
  </si>
  <si>
    <t>Row_Магистър_Hide</t>
  </si>
  <si>
    <r>
      <rPr>
        <b/>
        <sz val="12"/>
        <color theme="1"/>
        <rFont val="Arial Narrow"/>
        <family val="2"/>
      </rPr>
      <t>Брой курсови работи</t>
    </r>
    <r>
      <rPr>
        <sz val="12"/>
        <color theme="1"/>
        <rFont val="Arial Narrow"/>
        <family val="2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</rPr>
      <t xml:space="preserve">таблица (1.2./ 2.2.) ОКС "магистър" след придобита образователно-квалификационна степен на висшето образование - практики и курсови работи – (ЗИМЕН / ЛЕТЕН) семестър </t>
    </r>
  </si>
  <si>
    <r>
      <rPr>
        <b/>
        <sz val="12"/>
        <color theme="1"/>
        <rFont val="Arial Narrow"/>
        <family val="2"/>
        <charset val="204"/>
      </rPr>
      <t>Брой курсови работи</t>
    </r>
    <r>
      <rPr>
        <sz val="12"/>
        <color theme="1"/>
        <rFont val="Arial Narrow"/>
        <family val="2"/>
        <charset val="204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  <charset val="204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  <charset val="204"/>
      </rPr>
      <t xml:space="preserve">таблица (1. / 2.) ОКС "бакалавър" и "магистър" след средно образование – практики и курсови работи – ЛЕТЕН семестър </t>
    </r>
  </si>
  <si>
    <r>
      <rPr>
        <b/>
        <sz val="12"/>
        <color theme="1"/>
        <rFont val="Arial Narrow"/>
        <family val="2"/>
      </rPr>
      <t>Брой курсови работи</t>
    </r>
    <r>
      <rPr>
        <sz val="12"/>
        <color theme="1"/>
        <rFont val="Arial Narrow"/>
        <family val="2"/>
      </rPr>
      <t xml:space="preserve"> - Посочва се броят на предвидените по учебен план ръководства на курсови работи. </t>
    </r>
    <r>
      <rPr>
        <sz val="12"/>
        <color rgb="FFFF0000"/>
        <rFont val="Arial Narrow"/>
        <family val="2"/>
      </rPr>
      <t xml:space="preserve"> Веднъж отчетени към дадена дисциплина курсови работи не се отчитат и в </t>
    </r>
    <r>
      <rPr>
        <b/>
        <sz val="12"/>
        <color rgb="FFFF0000"/>
        <rFont val="Arial Narrow"/>
        <family val="2"/>
      </rPr>
      <t xml:space="preserve">таблица (1. / 2.) ОКС "магистър" след придобита образователно-квалификационна степен на висшето образование – практики и курсови работи – ЛЕТЕН семестър </t>
    </r>
  </si>
  <si>
    <r>
      <rPr>
        <b/>
        <i/>
        <sz val="12"/>
        <color theme="1"/>
        <rFont val="Arial"/>
        <family val="2"/>
        <charset val="204"/>
      </rPr>
      <t>1.</t>
    </r>
    <r>
      <rPr>
        <i/>
        <sz val="12"/>
        <color theme="1"/>
        <rFont val="Arial"/>
        <family val="2"/>
        <charset val="204"/>
      </rPr>
      <t>  Лекции</t>
    </r>
  </si>
  <si>
    <r>
      <rPr>
        <b/>
        <i/>
        <sz val="12"/>
        <color theme="1"/>
        <rFont val="Arial"/>
        <family val="2"/>
        <charset val="204"/>
      </rPr>
      <t>2.</t>
    </r>
    <r>
      <rPr>
        <i/>
        <sz val="12"/>
        <color theme="1"/>
        <rFont val="Arial"/>
        <family val="2"/>
        <charset val="204"/>
      </rPr>
      <t>  Упражнения</t>
    </r>
  </si>
  <si>
    <r>
      <rPr>
        <b/>
        <i/>
        <sz val="12"/>
        <color theme="1"/>
        <rFont val="Arial"/>
        <family val="2"/>
        <charset val="204"/>
      </rPr>
      <t>3.</t>
    </r>
    <r>
      <rPr>
        <i/>
        <sz val="12"/>
        <color theme="1"/>
        <rFont val="Arial"/>
        <family val="2"/>
        <charset val="204"/>
      </rPr>
      <t>  Лекции на чужд език</t>
    </r>
  </si>
  <si>
    <r>
      <rPr>
        <b/>
        <i/>
        <sz val="12"/>
        <color theme="1"/>
        <rFont val="Arial"/>
        <family val="2"/>
        <charset val="204"/>
      </rPr>
      <t>4.</t>
    </r>
    <r>
      <rPr>
        <i/>
        <sz val="12"/>
        <color theme="1"/>
        <rFont val="Arial"/>
        <family val="2"/>
        <charset val="204"/>
      </rPr>
      <t>  Упражнения на чужд език</t>
    </r>
  </si>
  <si>
    <r>
      <rPr>
        <b/>
        <i/>
        <sz val="12"/>
        <color theme="1"/>
        <rFont val="Arial"/>
        <family val="2"/>
        <charset val="204"/>
      </rPr>
      <t>1.</t>
    </r>
    <r>
      <rPr>
        <i/>
        <sz val="12"/>
        <color theme="1"/>
        <rFont val="Arial"/>
        <family val="2"/>
        <charset val="204"/>
      </rPr>
      <t>  Учебна и педагогическа практика *</t>
    </r>
  </si>
  <si>
    <r>
      <rPr>
        <b/>
        <i/>
        <sz val="12"/>
        <color theme="1"/>
        <rFont val="Arial"/>
        <family val="2"/>
        <charset val="204"/>
      </rPr>
      <t>· </t>
    </r>
    <r>
      <rPr>
        <i/>
        <sz val="12"/>
        <color theme="1"/>
        <rFont val="Arial"/>
        <family val="2"/>
        <charset val="204"/>
      </rPr>
      <t xml:space="preserve">Хоспитиране ***  – </t>
    </r>
    <r>
      <rPr>
        <i/>
        <sz val="11"/>
        <color theme="1"/>
        <rFont val="Arial"/>
        <family val="2"/>
        <charset val="204"/>
      </rPr>
      <t>30 ч. упр. на група</t>
    </r>
  </si>
  <si>
    <r>
      <rPr>
        <b/>
        <i/>
        <sz val="11"/>
        <color theme="1"/>
        <rFont val="Arial"/>
        <family val="2"/>
        <charset val="204"/>
      </rPr>
      <t xml:space="preserve">· </t>
    </r>
    <r>
      <rPr>
        <i/>
        <sz val="12"/>
        <color theme="1"/>
        <rFont val="Arial"/>
        <family val="2"/>
        <charset val="204"/>
      </rPr>
      <t>Текуща педагогическа практика *** –</t>
    </r>
    <r>
      <rPr>
        <i/>
        <sz val="11"/>
        <color theme="1"/>
        <rFont val="Arial"/>
        <family val="2"/>
        <charset val="204"/>
      </rPr>
      <t xml:space="preserve"> 60 ч. упр. за група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</si>
  <si>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 Научно-производствена практика – </t>
    </r>
    <r>
      <rPr>
        <i/>
        <sz val="11"/>
        <color theme="1"/>
        <rFont val="Arial"/>
        <family val="2"/>
        <charset val="204"/>
      </rPr>
      <t>3 ч. упр. на група за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</si>
  <si>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Преддипломен стаж/практика по учебен план – </t>
    </r>
    <r>
      <rPr>
        <i/>
        <sz val="11"/>
        <color theme="1"/>
        <rFont val="Arial"/>
        <family val="2"/>
        <charset val="204"/>
      </rPr>
      <t>3 ч. упр. на стажантска група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</si>
  <si>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 Теренна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</si>
  <si>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Лятна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</si>
  <si>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·</t>
    </r>
    <r>
      <rPr>
        <i/>
        <sz val="12"/>
        <color theme="1"/>
        <rFont val="Arial"/>
        <family val="2"/>
        <charset val="204"/>
      </rPr>
      <t xml:space="preserve"> Учебно-спортна практика – </t>
    </r>
    <r>
      <rPr>
        <i/>
        <sz val="11"/>
        <color theme="1"/>
        <rFont val="Arial"/>
        <family val="2"/>
        <charset val="204"/>
      </rPr>
      <t>4 часа упр. на ден</t>
    </r>
  </si>
  <si>
    <r>
      <rPr>
        <b/>
        <i/>
        <sz val="12"/>
        <color theme="1"/>
        <rFont val="Arial"/>
        <family val="2"/>
        <charset val="204"/>
      </rPr>
      <t>2.</t>
    </r>
    <r>
      <rPr>
        <i/>
        <sz val="12"/>
        <color theme="1"/>
        <rFont val="Arial"/>
        <family val="2"/>
        <charset val="204"/>
      </rPr>
      <t xml:space="preserve"> Семестриални изпити **</t>
    </r>
  </si>
  <si>
    <r>
      <rPr>
        <b/>
        <i/>
        <sz val="12"/>
        <color theme="1"/>
        <rFont val="Arial"/>
        <family val="2"/>
        <charset val="204"/>
      </rPr>
      <t>3.</t>
    </r>
    <r>
      <rPr>
        <i/>
        <sz val="12"/>
        <color theme="1"/>
        <rFont val="Arial"/>
        <family val="2"/>
        <charset val="204"/>
      </rPr>
      <t xml:space="preserve"> Текущ контрол</t>
    </r>
  </si>
  <si>
    <r>
      <rPr>
        <b/>
        <i/>
        <sz val="12"/>
        <color theme="1"/>
        <rFont val="Arial"/>
        <family val="2"/>
        <charset val="204"/>
      </rPr>
      <t>4.</t>
    </r>
    <r>
      <rPr>
        <i/>
        <sz val="12"/>
        <color theme="1"/>
        <rFont val="Arial"/>
        <family val="2"/>
        <charset val="204"/>
      </rPr>
      <t xml:space="preserve"> Ръководство на курсова работа</t>
    </r>
    <r>
      <rPr>
        <sz val="11"/>
        <color theme="1"/>
        <rFont val="Arial"/>
        <family val="2"/>
        <charset val="204"/>
      </rPr>
      <t/>
    </r>
  </si>
  <si>
    <r>
      <rPr>
        <b/>
        <i/>
        <sz val="12"/>
        <color theme="1"/>
        <rFont val="Arial"/>
        <family val="2"/>
        <charset val="204"/>
      </rPr>
      <t>5.</t>
    </r>
    <r>
      <rPr>
        <i/>
        <sz val="12"/>
        <color theme="1"/>
        <rFont val="Arial"/>
        <family val="2"/>
        <charset val="204"/>
      </rPr>
      <t xml:space="preserve"> Ръководство на дипломна работа</t>
    </r>
  </si>
  <si>
    <r>
      <rPr>
        <b/>
        <i/>
        <sz val="12"/>
        <color theme="1"/>
        <rFont val="Arial"/>
        <family val="2"/>
        <charset val="204"/>
      </rPr>
      <t>6.</t>
    </r>
    <r>
      <rPr>
        <i/>
        <sz val="12"/>
        <color theme="1"/>
        <rFont val="Arial"/>
        <family val="2"/>
        <charset val="204"/>
      </rPr>
      <t xml:space="preserve"> Рецензия на дипломна работа</t>
    </r>
  </si>
  <si>
    <r>
      <rPr>
        <b/>
        <i/>
        <sz val="12"/>
        <color theme="1"/>
        <rFont val="Arial"/>
        <family val="2"/>
        <charset val="204"/>
      </rPr>
      <t>7.</t>
    </r>
    <r>
      <rPr>
        <i/>
        <sz val="12"/>
        <color theme="1"/>
        <rFont val="Arial"/>
        <family val="2"/>
        <charset val="204"/>
      </rPr>
      <t xml:space="preserve"> Участие в държавен изпит/защита</t>
    </r>
    <r>
      <rPr>
        <sz val="11"/>
        <color theme="1"/>
        <rFont val="Arial"/>
        <family val="2"/>
        <charset val="204"/>
      </rPr>
      <t/>
    </r>
  </si>
  <si>
    <r>
      <rPr>
        <b/>
        <i/>
        <sz val="12"/>
        <color theme="1"/>
        <rFont val="Arial"/>
        <family val="2"/>
        <charset val="204"/>
      </rPr>
      <t>8.</t>
    </r>
    <r>
      <rPr>
        <i/>
        <sz val="12"/>
        <color theme="1"/>
        <rFont val="Arial"/>
        <family val="2"/>
        <charset val="204"/>
      </rPr>
      <t xml:space="preserve"> Подготовка (дизайн) на нов курс</t>
    </r>
  </si>
  <si>
    <r>
      <rPr>
        <b/>
        <i/>
        <sz val="12"/>
        <color theme="1"/>
        <rFont val="Arial"/>
        <family val="2"/>
        <charset val="204"/>
      </rPr>
      <t>9.</t>
    </r>
    <r>
      <rPr>
        <i/>
        <sz val="12"/>
        <color theme="1"/>
        <rFont val="Arial"/>
        <family val="2"/>
        <charset val="204"/>
      </rPr>
      <t xml:space="preserve"> Подготовка (дизайн) на електронни учебни ресурси за нов курс</t>
    </r>
  </si>
  <si>
    <r>
      <rPr>
        <b/>
        <i/>
        <sz val="12"/>
        <color theme="1"/>
        <rFont val="Arial"/>
        <family val="2"/>
        <charset val="204"/>
      </rPr>
      <t>10.</t>
    </r>
    <r>
      <rPr>
        <i/>
        <sz val="12"/>
        <color theme="1"/>
        <rFont val="Arial"/>
        <family val="2"/>
        <charset val="204"/>
      </rPr>
      <t xml:space="preserve"> Актуализация на курс</t>
    </r>
  </si>
  <si>
    <r>
      <rPr>
        <b/>
        <i/>
        <sz val="12"/>
        <color theme="1"/>
        <rFont val="Arial"/>
        <family val="2"/>
        <charset val="204"/>
      </rPr>
      <t>11.</t>
    </r>
    <r>
      <rPr>
        <i/>
        <sz val="12"/>
        <color theme="1"/>
        <rFont val="Arial"/>
        <family val="2"/>
        <charset val="204"/>
      </rPr>
      <t xml:space="preserve"> Изпити, ОНС "доктор"</t>
    </r>
  </si>
  <si>
    <r>
      <rPr>
        <b/>
        <i/>
        <sz val="12"/>
        <color theme="1"/>
        <rFont val="Arial"/>
        <family val="2"/>
        <charset val="204"/>
      </rPr>
      <t>12.</t>
    </r>
    <r>
      <rPr>
        <i/>
        <sz val="12"/>
        <color theme="1"/>
        <rFont val="Arial"/>
        <family val="2"/>
        <charset val="204"/>
      </rPr>
      <t xml:space="preserve"> Научно ръководство, ОНС "доктор"</t>
    </r>
  </si>
  <si>
    <t>Групи
бр.</t>
  </si>
  <si>
    <t>Дни
бр.</t>
  </si>
  <si>
    <t>6 и повече студенти</t>
  </si>
  <si>
    <t>5 студенти</t>
  </si>
  <si>
    <t>4 студенти</t>
  </si>
  <si>
    <t>3 студенти</t>
  </si>
  <si>
    <t>2 студенти</t>
  </si>
  <si>
    <t>3 и повече докторанти</t>
  </si>
  <si>
    <t>2 докторанти</t>
  </si>
  <si>
    <r>
      <rPr>
        <sz val="12"/>
        <color theme="1"/>
        <rFont val="Arial Narrow"/>
        <family val="2"/>
        <charset val="204"/>
      </rPr>
      <t>(Не приравнявайте към часове упражнения! Не прилагайте коефициенти за по-малък брой студенти!</t>
    </r>
    <r>
      <rPr>
        <sz val="12"/>
        <color rgb="FFFF0000"/>
        <rFont val="Arial Narrow"/>
        <family val="2"/>
        <charset val="204"/>
      </rPr>
      <t xml:space="preserve">   Данните за учебните дисциплини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</si>
  <si>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t>(За дейностите, описани в таблиците, предвидени за учебни практики и курсови работи в учебния план.</t>
    </r>
    <r>
      <rPr>
        <sz val="12"/>
        <color rgb="FFFF0000"/>
        <rFont val="Arial Narrow"/>
        <family val="2"/>
        <charset val="204"/>
      </rPr>
      <t xml:space="preserve"> Данните за учебни практики и курсови работи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</si>
  <si>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rPr>
        <sz val="12"/>
        <color theme="1"/>
        <rFont val="Arial Narrow"/>
        <family val="2"/>
        <charset val="204"/>
      </rPr>
      <t>(Не приравнявайте към часове упражнения! Не прилагайте коефициенти за по-малък брой студенти!</t>
    </r>
    <r>
      <rPr>
        <sz val="12"/>
        <color rgb="FFFF0000"/>
        <rFont val="Arial Narrow"/>
        <family val="2"/>
      </rPr>
      <t xml:space="preserve">  </t>
    </r>
    <r>
      <rPr>
        <sz val="12"/>
        <color rgb="FFFF0000"/>
        <rFont val="Arial Narrow"/>
        <family val="2"/>
        <charset val="204"/>
      </rPr>
      <t>Данните за учебните дисциплини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  <charset val="204"/>
      </rPr>
      <t>)</t>
    </r>
  </si>
  <si>
    <r>
      <t xml:space="preserve">(За дейностите, описани в таблиците, предвидени за учебни практики и курсови работи в учебния план. </t>
    </r>
    <r>
      <rPr>
        <sz val="12"/>
        <color rgb="FFFF0000"/>
        <rFont val="Arial Narrow"/>
        <family val="2"/>
        <charset val="204"/>
      </rPr>
      <t>Данните за учебни практики и курсови работи са изтеглени от СУСИ, при несъответствие могат да бъдат редактирани в таблицата!</t>
    </r>
    <r>
      <rPr>
        <sz val="12"/>
        <color theme="1"/>
        <rFont val="Arial Narrow"/>
        <family val="2"/>
      </rPr>
      <t>)</t>
    </r>
  </si>
  <si>
    <t>Корекции в индивидуалните отчети се правят само в рамките на факултетите до изпращането им в сектор „Учебен“.
Вече представен индивидуален отчет се коригира, чрез представяне на нов, изрядно попълнен и подписан от съответните лица формуляр.</t>
  </si>
  <si>
    <t>2020-2021</t>
  </si>
  <si>
    <t>първо ниво изследовател</t>
  </si>
  <si>
    <t>второ ниво изследовател</t>
  </si>
  <si>
    <t>трето ниво изследовател</t>
  </si>
  <si>
    <t>четвърто ниво изследовател</t>
  </si>
  <si>
    <t>Категория</t>
  </si>
  <si>
    <r>
      <t>Служебни</t>
    </r>
    <r>
      <rPr>
        <sz val="11"/>
        <color theme="1"/>
        <rFont val="Calibri"/>
        <family val="2"/>
        <charset val="204"/>
        <scheme val="minor"/>
      </rPr>
      <t xml:space="preserve">
въведени данни</t>
    </r>
  </si>
  <si>
    <t>аУчебна година:</t>
  </si>
  <si>
    <t>аСeместър:</t>
  </si>
  <si>
    <t>аВерсия:</t>
  </si>
  <si>
    <t>аАдмин:</t>
  </si>
  <si>
    <t>аАкад. длъжност:</t>
  </si>
  <si>
    <t>аРък. длъжност:</t>
  </si>
  <si>
    <t>аПреподавател:</t>
  </si>
  <si>
    <t>аЕГН:</t>
  </si>
  <si>
    <t>аФакултет:</t>
  </si>
  <si>
    <t>аКатедра:</t>
  </si>
  <si>
    <t>аОтчет - Файл:</t>
  </si>
  <si>
    <t>аПлан - Път:</t>
  </si>
  <si>
    <t>пПреподавател:</t>
  </si>
  <si>
    <t>пФакултет:</t>
  </si>
  <si>
    <t>пКатедра:</t>
  </si>
  <si>
    <t>пАкад. длъжност:</t>
  </si>
  <si>
    <t>пРък. длъжност:</t>
  </si>
  <si>
    <t>пЗабележка:</t>
  </si>
  <si>
    <t>пЛекторат:</t>
  </si>
  <si>
    <t>пЗаповед №:</t>
  </si>
  <si>
    <t>пВУЗ:</t>
  </si>
  <si>
    <t>потДата:</t>
  </si>
  <si>
    <t>пдоДата:</t>
  </si>
  <si>
    <t>пФайл:</t>
  </si>
  <si>
    <t>пПът:</t>
  </si>
  <si>
    <t>бакУЗ:</t>
  </si>
  <si>
    <t>бакАз:</t>
  </si>
  <si>
    <r>
      <t xml:space="preserve">Преподавателски
 </t>
    </r>
    <r>
      <rPr>
        <sz val="11"/>
        <color theme="1"/>
        <rFont val="Calibri"/>
        <family val="2"/>
        <charset val="204"/>
        <scheme val="minor"/>
      </rPr>
      <t>Обобщени учебни дейности</t>
    </r>
  </si>
  <si>
    <t>магУЗ:</t>
  </si>
  <si>
    <t>магАЗ:</t>
  </si>
  <si>
    <t>докУЗ:</t>
  </si>
  <si>
    <t>докАЗ:</t>
  </si>
  <si>
    <t>бакАЗ_рЧасове</t>
  </si>
  <si>
    <t>АЗ (Зад. дисц.)_рЧасове</t>
  </si>
  <si>
    <t>магАЗ_рЧасове</t>
  </si>
  <si>
    <t>Маг. - АЗ (Зад. дисц.)_рЧасове</t>
  </si>
  <si>
    <t>Административни данни</t>
  </si>
  <si>
    <t>Контрол</t>
  </si>
  <si>
    <t>Преподавателски данни</t>
  </si>
  <si>
    <t>Академична година</t>
  </si>
  <si>
    <t>Резултати</t>
  </si>
  <si>
    <t>Индивидуален отчет</t>
  </si>
  <si>
    <t>Обобщен отчет</t>
  </si>
  <si>
    <t>аФакултет</t>
  </si>
  <si>
    <t>аКатедра</t>
  </si>
  <si>
    <t>аАкадДлъжност</t>
  </si>
  <si>
    <t>аРъкДлъжност</t>
  </si>
  <si>
    <t>аПреподавател</t>
  </si>
  <si>
    <t>аЕГН</t>
  </si>
  <si>
    <t>акадДлъжност</t>
  </si>
  <si>
    <t>ръкДлъжност</t>
  </si>
  <si>
    <t>Забележка</t>
  </si>
  <si>
    <t>уГодина</t>
  </si>
  <si>
    <t>Заетост</t>
  </si>
  <si>
    <t>Дейности</t>
  </si>
  <si>
    <t>зБакалавър</t>
  </si>
  <si>
    <t>лБакалавър</t>
  </si>
  <si>
    <t>зМагистър</t>
  </si>
  <si>
    <t>лМагистър</t>
  </si>
  <si>
    <t>ОЗ</t>
  </si>
  <si>
    <t>АЗ</t>
  </si>
  <si>
    <t>рЧасове</t>
  </si>
  <si>
    <t>дОЗ</t>
  </si>
  <si>
    <t>дАЗ</t>
  </si>
  <si>
    <t>1.  Лекции</t>
  </si>
  <si>
    <t>2.  Упражнения</t>
  </si>
  <si>
    <t>3.  Лекции на чужд език</t>
  </si>
  <si>
    <t>4.  Упражнения на чужд език</t>
  </si>
  <si>
    <t>ИЗ</t>
  </si>
  <si>
    <t>1. Учебна и педагогическа практика</t>
  </si>
  <si>
    <t>· Хоспитиране</t>
  </si>
  <si>
    <t>· Текуща педагогическа практика</t>
  </si>
  <si>
    <t>· Научно-производствена практика</t>
  </si>
  <si>
    <t>· Преддипломен стаж/практика по учебен план</t>
  </si>
  <si>
    <t>· Теренна практика</t>
  </si>
  <si>
    <t>· Лятна практика</t>
  </si>
  <si>
    <t>· Учебно-спортна практика</t>
  </si>
  <si>
    <t>2. Семестриални изпити</t>
  </si>
  <si>
    <t>3. Текущ контрол</t>
  </si>
  <si>
    <t>4. Ръководство на курсова работа</t>
  </si>
  <si>
    <t>5. Ръководство на дипломна работа</t>
  </si>
  <si>
    <t>6. Рецензия на дипломна работа</t>
  </si>
  <si>
    <t>7. Участие в държавен изпит/защита</t>
  </si>
  <si>
    <t>8. Подготовка (дизайн) на нов курс</t>
  </si>
  <si>
    <t>9. Подготовка (дизайн) на електронни учебни ресурси за нов курс</t>
  </si>
  <si>
    <t>10. Актуализация на курс</t>
  </si>
  <si>
    <t>11. Изпити, ОНС "доктор"</t>
  </si>
  <si>
    <t>12. Научно ръководство, ОНС "доктор"</t>
  </si>
  <si>
    <t>рЧасове АЗ</t>
  </si>
  <si>
    <t>рЧасове АЗ по зад. дисц</t>
  </si>
  <si>
    <r>
      <rPr>
        <sz val="12"/>
        <rFont val="Arial Narrow"/>
        <family val="2"/>
        <charset val="204"/>
      </rPr>
      <t xml:space="preserve">(Не приравнявайте към часове упражнения! Не прилагайте коефициенти за по-малък брой студенти! </t>
    </r>
    <r>
      <rPr>
        <sz val="12"/>
        <color rgb="FFFF0000"/>
        <rFont val="Arial Narrow"/>
        <family val="2"/>
        <charset val="204"/>
      </rPr>
      <t xml:space="preserve"> Данните за учебните дисциплини са изтеглени от СУСИ, при несъответствие могат да бъдат редактирани в таблицата!</t>
    </r>
    <r>
      <rPr>
        <sz val="12"/>
        <rFont val="Arial Narrow"/>
        <family val="2"/>
        <charset val="204"/>
      </rPr>
      <t>)</t>
    </r>
  </si>
  <si>
    <t>Teacher_ID:</t>
  </si>
  <si>
    <t>PersonData_ID:</t>
  </si>
  <si>
    <t>LDAPUserName: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</si>
</sst>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General;General;"/>
    <numFmt numFmtId="165" formatCode="General;General;\–"/>
    <numFmt numFmtId="166" formatCode="0;General;"/>
    <numFmt numFmtId="167" formatCode="dd/mm/yyyy;;\-"/>
    <numFmt numFmtId="168" formatCode="@\,"/>
  </numFmts>
  <fonts count="1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11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8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b/>
      <u/>
      <sz val="11"/>
      <name val="Arial Narrow"/>
      <family val="2"/>
    </font>
    <font>
      <b/>
      <sz val="11"/>
      <name val="Arial Narrow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2"/>
      <color rgb="FFFF0000"/>
      <name val="Arial Narrow"/>
      <family val="2"/>
    </font>
    <font>
      <sz val="12"/>
      <color theme="1"/>
      <name val="Arial Narrow"/>
      <family val="2"/>
      <charset val="204"/>
    </font>
    <font>
      <b/>
      <sz val="14"/>
      <color rgb="FF333333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 Narrow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scheme val="minor"/>
    </font>
    <font>
      <b/>
      <sz val="12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i/>
      <sz val="20"/>
      <color theme="1"/>
      <name val="Arial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i/>
      <sz val="16"/>
      <color theme="1"/>
      <name val="Arial"/>
      <family val="2"/>
      <charset val="204"/>
    </font>
    <font>
      <b/>
      <sz val="9"/>
      <color theme="1"/>
      <name val="Arial"/>
      <family val="2"/>
    </font>
    <font>
      <b/>
      <i/>
      <sz val="13"/>
      <color theme="1"/>
      <name val="Arial"/>
      <family val="2"/>
    </font>
    <font>
      <b/>
      <sz val="11"/>
      <color rgb="FF002060"/>
      <name val="Arial Narrow"/>
      <family val="2"/>
    </font>
    <font>
      <b/>
      <sz val="10"/>
      <color theme="1"/>
      <name val="Arial Narrow"/>
      <family val="2"/>
      <charset val="204"/>
    </font>
    <font>
      <b/>
      <sz val="11"/>
      <color theme="1" tint="0.3499862666707357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5" tint="-0.249977111117893"/>
      <name val="Arial Narrow"/>
      <family val="2"/>
    </font>
    <font>
      <b/>
      <sz val="10"/>
      <color theme="5" tint="-0.249977111117893"/>
      <name val="Arial Narrow"/>
      <family val="2"/>
    </font>
    <font>
      <b/>
      <sz val="11"/>
      <color theme="9" tint="-0.499984740745262"/>
      <name val="Arial Narrow"/>
      <family val="2"/>
    </font>
    <font>
      <sz val="10"/>
      <color theme="5" tint="-0.249977111117893"/>
      <name val="Arial Narrow"/>
      <family val="2"/>
    </font>
    <font>
      <b/>
      <sz val="10"/>
      <color theme="5" tint="-0.249977111117893"/>
      <name val="Arial Narrow"/>
      <family val="2"/>
      <charset val="204"/>
    </font>
    <font>
      <b/>
      <sz val="10"/>
      <color theme="5" tint="-0.249977111117893"/>
      <name val="Calibri"/>
      <family val="2"/>
      <charset val="204"/>
      <scheme val="minor"/>
    </font>
    <font>
      <b/>
      <sz val="22"/>
      <color theme="1"/>
      <name val="Arial Narrow"/>
      <family val="2"/>
      <charset val="204"/>
    </font>
    <font>
      <sz val="16"/>
      <color theme="1"/>
      <name val="Arial Narrow"/>
      <family val="2"/>
    </font>
    <font>
      <sz val="22"/>
      <color theme="1"/>
      <name val="Arial Narrow"/>
      <family val="2"/>
    </font>
    <font>
      <b/>
      <sz val="10"/>
      <color theme="5" tint="-0.249977111117893"/>
      <name val="Calibri"/>
      <family val="2"/>
      <scheme val="minor"/>
    </font>
    <font>
      <b/>
      <sz val="16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20"/>
      <color theme="1"/>
      <name val="Arial Narrow"/>
      <family val="2"/>
    </font>
    <font>
      <sz val="18"/>
      <color theme="1"/>
      <name val="Arial Narrow"/>
      <family val="2"/>
    </font>
    <font>
      <sz val="9"/>
      <color theme="1"/>
      <name val="Arial Narrow"/>
      <family val="2"/>
    </font>
    <font>
      <sz val="12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b/>
      <sz val="12"/>
      <color rgb="FF0070C0"/>
      <name val="Arial Narrow"/>
      <family val="2"/>
      <charset val="204"/>
    </font>
    <font>
      <b/>
      <u/>
      <sz val="12"/>
      <color theme="1"/>
      <name val="Arial Narrow"/>
      <family val="2"/>
      <charset val="204"/>
    </font>
    <font>
      <b/>
      <u/>
      <sz val="11"/>
      <color rgb="FFFF0000"/>
      <name val="Arial Narrow"/>
      <family val="2"/>
      <charset val="204"/>
    </font>
    <font>
      <b/>
      <sz val="11"/>
      <color theme="5" tint="-0.249977111117893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FF3737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rgb="FFFF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u/>
      <sz val="16"/>
      <name val="Arial Narrow"/>
      <family val="2"/>
      <charset val="204"/>
    </font>
    <font>
      <b/>
      <u/>
      <sz val="16"/>
      <name val="Arial Narrow"/>
      <family val="2"/>
    </font>
    <font>
      <b/>
      <u/>
      <sz val="11"/>
      <color theme="10"/>
      <name val="Calibri"/>
      <family val="2"/>
      <charset val="204"/>
      <scheme val="minor"/>
    </font>
    <font>
      <sz val="11"/>
      <color rgb="FF0070C0"/>
      <name val="Arial Narrow"/>
      <family val="2"/>
    </font>
    <font>
      <b/>
      <u/>
      <sz val="16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color theme="5" tint="-0.249977111117893"/>
      <name val="Arial Narrow"/>
      <family val="2"/>
    </font>
    <font>
      <b/>
      <i/>
      <sz val="12"/>
      <color theme="1" tint="0.249977111117893"/>
      <name val="Arial Narrow"/>
      <family val="2"/>
      <charset val="204"/>
    </font>
    <font>
      <b/>
      <sz val="14"/>
      <color theme="5" tint="-0.249977111117893"/>
      <name val="Calibri"/>
      <family val="2"/>
      <charset val="204"/>
      <scheme val="minor"/>
    </font>
    <font>
      <b/>
      <i/>
      <sz val="12"/>
      <color theme="1" tint="0.34998626667073579"/>
      <name val="Arial Narrow"/>
      <family val="2"/>
      <charset val="204"/>
    </font>
    <font>
      <sz val="22"/>
      <color theme="1"/>
      <name val="Calibri"/>
      <family val="2"/>
      <scheme val="minor"/>
    </font>
    <font>
      <b/>
      <i/>
      <sz val="1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  <charset val="204"/>
    </font>
    <font>
      <b/>
      <u/>
      <sz val="11"/>
      <color rgb="FF0000FF"/>
      <name val="Arial Narrow"/>
      <family val="2"/>
    </font>
    <font>
      <b/>
      <u/>
      <sz val="11"/>
      <color rgb="FF0000FF"/>
      <name val="Arial Narrow"/>
      <family val="2"/>
      <charset val="204"/>
    </font>
    <font>
      <b/>
      <sz val="11"/>
      <color rgb="FF0000FF"/>
      <name val="Arial Narrow"/>
      <family val="2"/>
      <charset val="204"/>
    </font>
    <font>
      <b/>
      <u/>
      <sz val="11"/>
      <color theme="10"/>
      <name val="Arial Narrow"/>
      <family val="2"/>
      <charset val="204"/>
    </font>
    <font>
      <b/>
      <u/>
      <sz val="10"/>
      <color rgb="FF0000FF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b/>
      <u/>
      <sz val="11"/>
      <color rgb="FF0000FF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rgb="FFC00000"/>
      <name val="Arial Narrow"/>
      <family val="2"/>
      <charset val="204"/>
    </font>
    <font>
      <b/>
      <sz val="11"/>
      <color rgb="FFC00000"/>
      <name val="Arial Narrow"/>
      <family val="2"/>
      <charset val="204"/>
    </font>
    <font>
      <b/>
      <sz val="16"/>
      <color rgb="FFC00000"/>
      <name val="Arial Narrow"/>
      <family val="2"/>
      <charset val="204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Calibri"/>
      <family val="2"/>
      <scheme val="minor"/>
    </font>
    <font>
      <b/>
      <i/>
      <sz val="12"/>
      <color theme="1"/>
      <name val="Arial"/>
      <family val="2"/>
      <charset val="204"/>
    </font>
    <font>
      <b/>
      <i/>
      <sz val="14"/>
      <color theme="1"/>
      <name val="Arial Narrow"/>
      <family val="2"/>
      <charset val="204"/>
    </font>
    <font>
      <b/>
      <i/>
      <sz val="12"/>
      <color theme="1" tint="0.34998626667073579"/>
      <name val="Arial"/>
      <family val="2"/>
      <charset val="204"/>
    </font>
    <font>
      <b/>
      <sz val="12"/>
      <color theme="1" tint="0.249977111117893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1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62" fillId="10" borderId="0" applyBorder="0">
      <alignment horizontal="center" vertical="center" wrapText="1"/>
    </xf>
    <xf numFmtId="9" fontId="122" fillId="0" borderId="0" applyFont="0" applyFill="0" applyBorder="0" applyAlignment="0" applyProtection="0"/>
  </cellStyleXfs>
  <cellXfs count="1777">
    <xf numFmtId="0" fontId="0" fillId="0" borderId="0" xfId="0"/>
    <xf numFmtId="0" fontId="11" fillId="0" borderId="0" xfId="0" applyFont="1" applyProtection="1"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8" fillId="0" borderId="0" xfId="0" applyFont="1" applyFill="1" applyBorder="1" applyAlignment="1" applyProtection="1"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2" borderId="26" xfId="0" applyFill="1" applyBorder="1"/>
    <xf numFmtId="0" fontId="0" fillId="2" borderId="25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4" xfId="0" applyFill="1" applyBorder="1"/>
    <xf numFmtId="0" fontId="17" fillId="0" borderId="0" xfId="0" applyFont="1" applyFill="1" applyBorder="1" applyAlignment="1" applyProtection="1">
      <protection hidden="1"/>
    </xf>
    <xf numFmtId="0" fontId="24" fillId="0" borderId="0" xfId="0" applyFont="1" applyFill="1" applyBorder="1" applyAlignment="1" applyProtection="1">
      <alignment horizontal="right"/>
      <protection hidden="1"/>
    </xf>
    <xf numFmtId="0" fontId="0" fillId="2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2" borderId="1" xfId="0" applyFill="1" applyBorder="1"/>
    <xf numFmtId="0" fontId="0" fillId="2" borderId="3" xfId="0" applyFill="1" applyBorder="1"/>
    <xf numFmtId="0" fontId="18" fillId="2" borderId="0" xfId="0" applyFont="1" applyFill="1" applyBorder="1" applyAlignment="1" applyProtection="1">
      <alignment horizontal="right" vertical="center" wrapText="1"/>
      <protection hidden="1"/>
    </xf>
    <xf numFmtId="0" fontId="18" fillId="2" borderId="27" xfId="0" applyFont="1" applyFill="1" applyBorder="1" applyAlignment="1" applyProtection="1">
      <alignment horizontal="right" vertical="center" wrapText="1"/>
      <protection hidden="1"/>
    </xf>
    <xf numFmtId="0" fontId="29" fillId="0" borderId="3" xfId="0" applyFont="1" applyFill="1" applyBorder="1"/>
    <xf numFmtId="0" fontId="29" fillId="0" borderId="8" xfId="0" applyFont="1" applyFill="1" applyBorder="1"/>
    <xf numFmtId="0" fontId="0" fillId="3" borderId="26" xfId="0" applyFill="1" applyBorder="1" applyAlignment="1"/>
    <xf numFmtId="0" fontId="0" fillId="3" borderId="25" xfId="0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vertical="center"/>
    </xf>
    <xf numFmtId="0" fontId="11" fillId="0" borderId="0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6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33" fillId="0" borderId="0" xfId="0" applyFont="1" applyProtection="1"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3" fillId="0" borderId="0" xfId="0" applyFont="1" applyFill="1" applyProtection="1">
      <protection hidden="1"/>
    </xf>
    <xf numFmtId="0" fontId="38" fillId="0" borderId="0" xfId="0" applyFont="1" applyProtection="1">
      <protection hidden="1"/>
    </xf>
    <xf numFmtId="0" fontId="33" fillId="0" borderId="0" xfId="0" applyFont="1" applyAlignment="1" applyProtection="1">
      <alignment horizontal="center" wrapText="1"/>
      <protection locked="0" hidden="1"/>
    </xf>
    <xf numFmtId="0" fontId="33" fillId="0" borderId="0" xfId="0" applyFont="1" applyFill="1" applyProtection="1">
      <protection locked="0" hidden="1"/>
    </xf>
    <xf numFmtId="0" fontId="35" fillId="0" borderId="0" xfId="0" applyFont="1" applyFill="1" applyBorder="1" applyAlignment="1" applyProtection="1">
      <alignment horizontal="center" wrapText="1"/>
      <protection locked="0" hidden="1"/>
    </xf>
    <xf numFmtId="0" fontId="33" fillId="0" borderId="0" xfId="0" applyFont="1" applyProtection="1">
      <protection locked="0" hidden="1"/>
    </xf>
    <xf numFmtId="0" fontId="39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33" fillId="0" borderId="0" xfId="0" applyFont="1" applyAlignment="1" applyProtection="1">
      <alignment wrapText="1"/>
      <protection hidden="1"/>
    </xf>
    <xf numFmtId="0" fontId="46" fillId="0" borderId="0" xfId="0" applyFont="1" applyProtection="1">
      <protection hidden="1"/>
    </xf>
    <xf numFmtId="0" fontId="46" fillId="0" borderId="0" xfId="0" applyFont="1" applyAlignment="1" applyProtection="1">
      <alignment wrapText="1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0" fillId="4" borderId="4" xfId="0" applyFill="1" applyBorder="1"/>
    <xf numFmtId="0" fontId="33" fillId="0" borderId="0" xfId="0" applyFont="1" applyAlignment="1" applyProtection="1">
      <protection hidden="1"/>
    </xf>
    <xf numFmtId="0" fontId="33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7" xfId="0" applyBorder="1"/>
    <xf numFmtId="0" fontId="0" fillId="2" borderId="38" xfId="0" applyFill="1" applyBorder="1"/>
    <xf numFmtId="0" fontId="0" fillId="0" borderId="39" xfId="0" applyBorder="1"/>
    <xf numFmtId="0" fontId="49" fillId="2" borderId="36" xfId="0" applyFont="1" applyFill="1" applyBorder="1"/>
    <xf numFmtId="0" fontId="0" fillId="2" borderId="39" xfId="0" applyFill="1" applyBorder="1"/>
    <xf numFmtId="0" fontId="34" fillId="0" borderId="0" xfId="0" applyFont="1" applyFill="1" applyBorder="1" applyAlignment="1" applyProtection="1">
      <alignment vertical="center"/>
      <protection hidden="1"/>
    </xf>
    <xf numFmtId="0" fontId="48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Protection="1">
      <protection hidden="1"/>
    </xf>
    <xf numFmtId="0" fontId="29" fillId="0" borderId="1" xfId="0" applyFont="1" applyFill="1" applyBorder="1" applyAlignment="1">
      <alignment horizontal="right" wrapText="1"/>
    </xf>
    <xf numFmtId="0" fontId="29" fillId="0" borderId="10" xfId="0" applyFont="1" applyFill="1" applyBorder="1" applyAlignment="1">
      <alignment horizontal="right" wrapText="1"/>
    </xf>
    <xf numFmtId="0" fontId="52" fillId="0" borderId="0" xfId="0" applyFont="1"/>
    <xf numFmtId="0" fontId="0" fillId="0" borderId="0" xfId="0" applyAlignment="1">
      <alignment vertical="center"/>
    </xf>
    <xf numFmtId="0" fontId="60" fillId="0" borderId="0" xfId="0" applyFont="1"/>
    <xf numFmtId="0" fontId="0" fillId="0" borderId="0" xfId="0" applyAlignment="1">
      <alignment vertical="top"/>
    </xf>
    <xf numFmtId="0" fontId="52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3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center"/>
      <protection hidden="1"/>
    </xf>
    <xf numFmtId="0" fontId="64" fillId="0" borderId="0" xfId="0" applyFont="1" applyBorder="1" applyAlignment="1" applyProtection="1">
      <alignment vertical="center" wrapText="1"/>
      <protection hidden="1"/>
    </xf>
    <xf numFmtId="0" fontId="33" fillId="0" borderId="0" xfId="0" applyFont="1" applyFill="1" applyBorder="1" applyProtection="1">
      <protection locked="0" hidden="1"/>
    </xf>
    <xf numFmtId="0" fontId="0" fillId="0" borderId="0" xfId="0" applyAlignment="1">
      <alignment vertical="top" wrapText="1"/>
    </xf>
    <xf numFmtId="0" fontId="68" fillId="0" borderId="4" xfId="0" applyFont="1" applyBorder="1" applyAlignment="1">
      <alignment horizontal="left" vertical="center" wrapText="1"/>
    </xf>
    <xf numFmtId="0" fontId="49" fillId="3" borderId="4" xfId="0" applyFont="1" applyFill="1" applyBorder="1" applyAlignment="1">
      <alignment horizontal="center"/>
    </xf>
    <xf numFmtId="0" fontId="68" fillId="0" borderId="4" xfId="0" applyFont="1" applyBorder="1" applyAlignment="1">
      <alignment vertical="center" wrapText="1"/>
    </xf>
    <xf numFmtId="0" fontId="68" fillId="0" borderId="4" xfId="0" applyFont="1" applyFill="1" applyBorder="1" applyAlignment="1">
      <alignment vertical="center" wrapText="1"/>
    </xf>
    <xf numFmtId="16" fontId="68" fillId="0" borderId="4" xfId="0" applyNumberFormat="1" applyFont="1" applyBorder="1" applyAlignment="1">
      <alignment vertical="center" wrapText="1"/>
    </xf>
    <xf numFmtId="0" fontId="68" fillId="0" borderId="9" xfId="0" applyFont="1" applyFill="1" applyBorder="1" applyAlignment="1">
      <alignment vertical="center" wrapText="1"/>
    </xf>
    <xf numFmtId="0" fontId="44" fillId="0" borderId="4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4" fillId="0" borderId="9" xfId="0" applyFont="1" applyBorder="1" applyAlignment="1">
      <alignment vertical="center" wrapText="1"/>
    </xf>
    <xf numFmtId="0" fontId="49" fillId="3" borderId="29" xfId="0" applyFont="1" applyFill="1" applyBorder="1" applyAlignment="1">
      <alignment horizontal="center"/>
    </xf>
    <xf numFmtId="0" fontId="33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/>
      <protection hidden="1"/>
    </xf>
    <xf numFmtId="0" fontId="50" fillId="0" borderId="0" xfId="0" applyFont="1" applyAlignment="1">
      <alignment horizontal="center"/>
    </xf>
    <xf numFmtId="0" fontId="60" fillId="0" borderId="0" xfId="0" applyFont="1" applyAlignment="1">
      <alignment vertical="top" wrapText="1"/>
    </xf>
    <xf numFmtId="0" fontId="46" fillId="0" borderId="0" xfId="0" applyFont="1" applyFill="1" applyBorder="1" applyAlignment="1" applyProtection="1">
      <alignment horizontal="center" vertical="center" wrapText="1"/>
      <protection hidden="1"/>
    </xf>
    <xf numFmtId="0" fontId="46" fillId="0" borderId="0" xfId="0" applyFont="1" applyFill="1" applyBorder="1" applyAlignment="1" applyProtection="1">
      <alignment horizontal="right" vertical="center" wrapText="1"/>
      <protection hidden="1"/>
    </xf>
    <xf numFmtId="0" fontId="45" fillId="0" borderId="0" xfId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Border="1" applyProtection="1">
      <protection hidden="1"/>
    </xf>
    <xf numFmtId="0" fontId="46" fillId="0" borderId="0" xfId="0" applyFont="1" applyFill="1" applyBorder="1" applyProtection="1">
      <protection hidden="1"/>
    </xf>
    <xf numFmtId="0" fontId="46" fillId="0" borderId="0" xfId="0" applyFont="1" applyFill="1" applyBorder="1" applyAlignment="1" applyProtection="1">
      <alignment horizontal="center" vertical="center"/>
      <protection hidden="1"/>
    </xf>
    <xf numFmtId="0" fontId="45" fillId="0" borderId="0" xfId="1" applyFont="1" applyFill="1" applyBorder="1" applyAlignment="1" applyProtection="1">
      <alignment horizontal="center" vertical="center"/>
      <protection hidden="1"/>
    </xf>
    <xf numFmtId="0" fontId="46" fillId="0" borderId="0" xfId="0" applyFont="1" applyFill="1" applyBorder="1" applyAlignment="1" applyProtection="1">
      <alignment wrapText="1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0" borderId="0" xfId="0" applyFont="1" applyFill="1" applyBorder="1"/>
    <xf numFmtId="0" fontId="33" fillId="0" borderId="0" xfId="0" applyFont="1" applyFill="1" applyBorder="1" applyAlignment="1">
      <alignment vertical="center"/>
    </xf>
    <xf numFmtId="49" fontId="0" fillId="0" borderId="0" xfId="0" applyNumberFormat="1"/>
    <xf numFmtId="0" fontId="0" fillId="0" borderId="0" xfId="0" applyAlignment="1" applyProtection="1">
      <alignment vertical="center"/>
      <protection hidden="1"/>
    </xf>
    <xf numFmtId="0" fontId="19" fillId="2" borderId="0" xfId="0" applyFont="1" applyFill="1" applyBorder="1" applyAlignment="1" applyProtection="1">
      <alignment horizontal="center" vertical="center" wrapText="1"/>
      <protection hidden="1"/>
    </xf>
    <xf numFmtId="164" fontId="17" fillId="0" borderId="19" xfId="0" applyNumberFormat="1" applyFont="1" applyFill="1" applyBorder="1" applyAlignment="1" applyProtection="1">
      <alignment horizontal="center" vertical="center"/>
      <protection hidden="1"/>
    </xf>
    <xf numFmtId="164" fontId="1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right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0" fontId="27" fillId="0" borderId="0" xfId="0" applyFont="1" applyFill="1" applyBorder="1" applyAlignment="1" applyProtection="1">
      <alignment horizontal="right" vertical="center"/>
      <protection hidden="1"/>
    </xf>
    <xf numFmtId="0" fontId="3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49" fillId="2" borderId="4" xfId="0" applyFont="1" applyFill="1" applyBorder="1" applyAlignment="1">
      <alignment horizontal="center"/>
    </xf>
    <xf numFmtId="0" fontId="0" fillId="0" borderId="29" xfId="0" applyBorder="1"/>
    <xf numFmtId="0" fontId="33" fillId="0" borderId="0" xfId="0" applyFont="1" applyBorder="1" applyAlignment="1" applyProtection="1">
      <alignment horizontal="center" vertical="center"/>
      <protection hidden="1"/>
    </xf>
    <xf numFmtId="165" fontId="18" fillId="4" borderId="29" xfId="0" applyNumberFormat="1" applyFont="1" applyFill="1" applyBorder="1" applyAlignment="1" applyProtection="1">
      <alignment horizontal="center" vertical="center" wrapText="1"/>
      <protection hidden="1"/>
    </xf>
    <xf numFmtId="165" fontId="18" fillId="4" borderId="59" xfId="0" applyNumberFormat="1" applyFont="1" applyFill="1" applyBorder="1" applyAlignment="1" applyProtection="1">
      <alignment horizontal="center" vertical="center" wrapText="1"/>
      <protection hidden="1"/>
    </xf>
    <xf numFmtId="166" fontId="18" fillId="0" borderId="14" xfId="0" applyNumberFormat="1" applyFont="1" applyBorder="1" applyAlignment="1" applyProtection="1">
      <alignment horizontal="center" vertical="center" wrapText="1"/>
      <protection hidden="1"/>
    </xf>
    <xf numFmtId="0" fontId="88" fillId="0" borderId="0" xfId="0" applyFont="1" applyAlignment="1" applyProtection="1">
      <alignment horizontal="center" vertical="center"/>
      <protection hidden="1"/>
    </xf>
    <xf numFmtId="0" fontId="87" fillId="0" borderId="0" xfId="0" applyFont="1" applyAlignment="1" applyProtection="1">
      <alignment horizontal="center" vertical="center"/>
      <protection hidden="1"/>
    </xf>
    <xf numFmtId="0" fontId="90" fillId="0" borderId="0" xfId="0" applyFont="1" applyAlignment="1" applyProtection="1">
      <alignment horizontal="center" vertical="center"/>
      <protection hidden="1"/>
    </xf>
    <xf numFmtId="0" fontId="31" fillId="3" borderId="31" xfId="0" applyFont="1" applyFill="1" applyBorder="1" applyAlignment="1" applyProtection="1">
      <alignment horizontal="center" vertical="center" wrapText="1"/>
      <protection hidden="1"/>
    </xf>
    <xf numFmtId="0" fontId="81" fillId="12" borderId="0" xfId="0" applyFont="1" applyFill="1" applyBorder="1" applyAlignment="1" applyProtection="1">
      <alignment horizontal="center" vertical="center" wrapText="1"/>
      <protection hidden="1"/>
    </xf>
    <xf numFmtId="0" fontId="82" fillId="11" borderId="0" xfId="0" applyFont="1" applyFill="1" applyBorder="1" applyAlignment="1" applyProtection="1">
      <alignment horizontal="center" vertical="center"/>
      <protection hidden="1"/>
    </xf>
    <xf numFmtId="0" fontId="82" fillId="11" borderId="54" xfId="0" applyFont="1" applyFill="1" applyBorder="1" applyAlignment="1" applyProtection="1">
      <alignment horizontal="center" vertical="center"/>
      <protection hidden="1"/>
    </xf>
    <xf numFmtId="0" fontId="81" fillId="12" borderId="55" xfId="0" applyFont="1" applyFill="1" applyBorder="1" applyAlignment="1" applyProtection="1">
      <alignment horizontal="center" vertical="center" wrapText="1"/>
      <protection hidden="1"/>
    </xf>
    <xf numFmtId="0" fontId="31" fillId="3" borderId="64" xfId="0" applyFont="1" applyFill="1" applyBorder="1" applyAlignment="1" applyProtection="1">
      <alignment horizontal="center" vertical="center" wrapText="1"/>
      <protection hidden="1"/>
    </xf>
    <xf numFmtId="0" fontId="31" fillId="3" borderId="65" xfId="0" applyFont="1" applyFill="1" applyBorder="1" applyAlignment="1" applyProtection="1">
      <alignment horizontal="center" vertical="center" wrapText="1"/>
      <protection hidden="1"/>
    </xf>
    <xf numFmtId="0" fontId="81" fillId="12" borderId="54" xfId="0" applyFont="1" applyFill="1" applyBorder="1" applyAlignment="1" applyProtection="1">
      <alignment horizontal="center" vertical="center" wrapText="1"/>
      <protection hidden="1"/>
    </xf>
    <xf numFmtId="0" fontId="81" fillId="12" borderId="68" xfId="0" applyFont="1" applyFill="1" applyBorder="1" applyAlignment="1" applyProtection="1">
      <alignment horizontal="center" vertical="center" wrapText="1"/>
      <protection hidden="1"/>
    </xf>
    <xf numFmtId="0" fontId="84" fillId="12" borderId="50" xfId="0" applyFont="1" applyFill="1" applyBorder="1" applyAlignment="1" applyProtection="1">
      <alignment horizontal="center" vertical="center" wrapText="1"/>
      <protection hidden="1"/>
    </xf>
    <xf numFmtId="0" fontId="84" fillId="12" borderId="49" xfId="0" applyFont="1" applyFill="1" applyBorder="1" applyAlignment="1" applyProtection="1">
      <alignment horizontal="center" vertical="center" wrapText="1"/>
      <protection hidden="1"/>
    </xf>
    <xf numFmtId="0" fontId="84" fillId="12" borderId="69" xfId="0" applyFont="1" applyFill="1" applyBorder="1" applyAlignment="1" applyProtection="1">
      <alignment horizontal="center" vertical="center" wrapText="1"/>
      <protection hidden="1"/>
    </xf>
    <xf numFmtId="0" fontId="83" fillId="12" borderId="50" xfId="0" applyFont="1" applyFill="1" applyBorder="1" applyAlignment="1" applyProtection="1">
      <alignment horizontal="center" vertical="center" wrapText="1"/>
      <protection hidden="1"/>
    </xf>
    <xf numFmtId="0" fontId="83" fillId="12" borderId="49" xfId="0" applyFont="1" applyFill="1" applyBorder="1" applyAlignment="1" applyProtection="1">
      <alignment horizontal="center" vertical="center" wrapText="1"/>
      <protection hidden="1"/>
    </xf>
    <xf numFmtId="0" fontId="83" fillId="12" borderId="69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83" fillId="12" borderId="43" xfId="0" applyFont="1" applyFill="1" applyBorder="1" applyAlignment="1" applyProtection="1">
      <alignment horizontal="center" vertical="center" wrapText="1"/>
      <protection hidden="1"/>
    </xf>
    <xf numFmtId="0" fontId="83" fillId="12" borderId="44" xfId="0" applyFont="1" applyFill="1" applyBorder="1" applyAlignment="1" applyProtection="1">
      <alignment horizontal="center" vertical="center" wrapText="1"/>
      <protection hidden="1"/>
    </xf>
    <xf numFmtId="0" fontId="83" fillId="12" borderId="56" xfId="0" applyFont="1" applyFill="1" applyBorder="1" applyAlignment="1" applyProtection="1">
      <alignment horizontal="center" vertical="center" wrapText="1"/>
      <protection hidden="1"/>
    </xf>
    <xf numFmtId="0" fontId="81" fillId="12" borderId="50" xfId="0" applyFont="1" applyFill="1" applyBorder="1" applyAlignment="1" applyProtection="1">
      <alignment horizontal="center" vertical="center" wrapText="1"/>
      <protection hidden="1"/>
    </xf>
    <xf numFmtId="0" fontId="81" fillId="12" borderId="49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Alignment="1" applyProtection="1">
      <alignment horizontal="center" vertical="center"/>
      <protection locked="0" hidden="1"/>
    </xf>
    <xf numFmtId="0" fontId="33" fillId="0" borderId="0" xfId="0" applyFont="1" applyFill="1" applyAlignment="1" applyProtection="1">
      <alignment wrapText="1"/>
      <protection hidden="1"/>
    </xf>
    <xf numFmtId="0" fontId="33" fillId="0" borderId="0" xfId="0" applyFont="1" applyFill="1" applyAlignment="1" applyProtection="1">
      <alignment horizontal="center" vertical="center"/>
      <protection hidden="1"/>
    </xf>
    <xf numFmtId="0" fontId="0" fillId="0" borderId="0" xfId="0" applyNumberFormat="1" applyBorder="1"/>
    <xf numFmtId="0" fontId="0" fillId="0" borderId="3" xfId="0" applyFill="1" applyBorder="1" applyAlignment="1">
      <alignment horizontal="left"/>
    </xf>
    <xf numFmtId="0" fontId="32" fillId="0" borderId="50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1" fillId="0" borderId="45" xfId="0" applyFont="1" applyFill="1" applyBorder="1" applyAlignment="1" applyProtection="1">
      <alignment horizontal="center" vertical="center" wrapText="1"/>
      <protection hidden="1"/>
    </xf>
    <xf numFmtId="0" fontId="31" fillId="0" borderId="32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 applyFill="1" applyBorder="1" applyAlignment="1" applyProtection="1">
      <alignment horizontal="center" vertical="center" wrapText="1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91" fillId="0" borderId="50" xfId="0" applyFont="1" applyBorder="1" applyAlignment="1">
      <alignment horizontal="center" vertical="center" wrapText="1"/>
    </xf>
    <xf numFmtId="0" fontId="91" fillId="0" borderId="49" xfId="0" applyFont="1" applyBorder="1" applyAlignment="1">
      <alignment horizontal="center" vertical="center" wrapText="1"/>
    </xf>
    <xf numFmtId="0" fontId="31" fillId="0" borderId="54" xfId="0" applyFont="1" applyFill="1" applyBorder="1" applyAlignment="1" applyProtection="1">
      <alignment horizontal="center" vertical="center" wrapText="1"/>
      <protection hidden="1"/>
    </xf>
    <xf numFmtId="0" fontId="31" fillId="0" borderId="55" xfId="0" applyFont="1" applyFill="1" applyBorder="1" applyAlignment="1" applyProtection="1">
      <alignment horizontal="center" vertical="center" wrapText="1"/>
      <protection hidden="1"/>
    </xf>
    <xf numFmtId="0" fontId="31" fillId="0" borderId="55" xfId="0" applyFont="1" applyFill="1" applyBorder="1" applyAlignment="1" applyProtection="1">
      <alignment horizontal="center" vertical="center"/>
      <protection hidden="1"/>
    </xf>
    <xf numFmtId="0" fontId="31" fillId="0" borderId="68" xfId="0" applyFont="1" applyFill="1" applyBorder="1" applyAlignment="1" applyProtection="1">
      <alignment horizontal="center" vertical="center" wrapText="1"/>
      <protection hidden="1"/>
    </xf>
    <xf numFmtId="0" fontId="81" fillId="12" borderId="0" xfId="0" applyFont="1" applyFill="1" applyBorder="1" applyAlignment="1">
      <alignment horizontal="center" vertical="center"/>
    </xf>
    <xf numFmtId="0" fontId="81" fillId="12" borderId="0" xfId="0" applyFont="1" applyFill="1" applyBorder="1" applyAlignment="1">
      <alignment horizontal="center" vertical="center" wrapText="1"/>
    </xf>
    <xf numFmtId="0" fontId="81" fillId="12" borderId="54" xfId="0" applyFont="1" applyFill="1" applyBorder="1" applyAlignment="1">
      <alignment horizontal="center" vertical="center"/>
    </xf>
    <xf numFmtId="0" fontId="81" fillId="12" borderId="55" xfId="0" applyFont="1" applyFill="1" applyBorder="1" applyAlignment="1">
      <alignment horizontal="center" vertical="center"/>
    </xf>
    <xf numFmtId="0" fontId="81" fillId="12" borderId="66" xfId="0" applyFont="1" applyFill="1" applyBorder="1" applyAlignment="1" applyProtection="1">
      <alignment horizontal="center" wrapText="1"/>
      <protection hidden="1"/>
    </xf>
    <xf numFmtId="0" fontId="81" fillId="12" borderId="68" xfId="0" applyFont="1" applyFill="1" applyBorder="1" applyAlignment="1">
      <alignment horizontal="center" vertical="center"/>
    </xf>
    <xf numFmtId="0" fontId="85" fillId="12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/>
      <protection hidden="1"/>
    </xf>
    <xf numFmtId="0" fontId="11" fillId="2" borderId="28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93" fillId="0" borderId="0" xfId="0" applyFont="1" applyProtection="1">
      <protection hidden="1"/>
    </xf>
    <xf numFmtId="0" fontId="94" fillId="0" borderId="0" xfId="0" applyFont="1" applyProtection="1">
      <protection hidden="1"/>
    </xf>
    <xf numFmtId="0" fontId="10" fillId="2" borderId="13" xfId="0" applyFont="1" applyFill="1" applyBorder="1" applyAlignment="1" applyProtection="1">
      <alignment horizontal="center" vertical="center"/>
      <protection hidden="1"/>
    </xf>
    <xf numFmtId="166" fontId="20" fillId="0" borderId="22" xfId="0" applyNumberFormat="1" applyFont="1" applyBorder="1" applyAlignment="1" applyProtection="1">
      <alignment horizontal="center" vertical="center" wrapText="1"/>
      <protection hidden="1"/>
    </xf>
    <xf numFmtId="166" fontId="20" fillId="0" borderId="23" xfId="0" applyNumberFormat="1" applyFont="1" applyBorder="1" applyAlignment="1" applyProtection="1">
      <alignment horizontal="center" vertical="center" wrapText="1"/>
      <protection hidden="1"/>
    </xf>
    <xf numFmtId="166" fontId="20" fillId="0" borderId="13" xfId="0" applyNumberFormat="1" applyFont="1" applyBorder="1" applyAlignment="1" applyProtection="1">
      <alignment horizontal="center" vertical="center" wrapText="1"/>
      <protection hidden="1"/>
    </xf>
    <xf numFmtId="166" fontId="20" fillId="0" borderId="18" xfId="0" applyNumberFormat="1" applyFont="1" applyBorder="1" applyAlignment="1" applyProtection="1">
      <alignment horizontal="center" vertical="center"/>
      <protection hidden="1"/>
    </xf>
    <xf numFmtId="166" fontId="20" fillId="0" borderId="19" xfId="0" applyNumberFormat="1" applyFont="1" applyBorder="1" applyAlignment="1" applyProtection="1">
      <alignment horizontal="center" vertical="center"/>
      <protection hidden="1"/>
    </xf>
    <xf numFmtId="166" fontId="20" fillId="0" borderId="20" xfId="0" applyNumberFormat="1" applyFont="1" applyBorder="1" applyAlignment="1" applyProtection="1">
      <alignment horizontal="center" vertical="center"/>
      <protection hidden="1"/>
    </xf>
    <xf numFmtId="0" fontId="97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95" fillId="0" borderId="0" xfId="0" applyFont="1" applyAlignment="1" applyProtection="1">
      <alignment vertical="center" wrapText="1"/>
      <protection hidden="1"/>
    </xf>
    <xf numFmtId="0" fontId="96" fillId="0" borderId="0" xfId="0" applyFont="1" applyAlignment="1" applyProtection="1">
      <alignment vertical="center" wrapText="1"/>
      <protection hidden="1"/>
    </xf>
    <xf numFmtId="0" fontId="97" fillId="0" borderId="0" xfId="0" applyFont="1" applyAlignment="1" applyProtection="1">
      <alignment vertical="center" wrapText="1"/>
      <protection hidden="1"/>
    </xf>
    <xf numFmtId="0" fontId="94" fillId="0" borderId="0" xfId="0" applyFont="1" applyAlignment="1" applyProtection="1">
      <alignment vertical="center"/>
      <protection hidden="1"/>
    </xf>
    <xf numFmtId="0" fontId="17" fillId="2" borderId="23" xfId="0" applyFont="1" applyFill="1" applyBorder="1" applyAlignment="1" applyProtection="1">
      <alignment horizontal="center" vertical="center"/>
      <protection hidden="1"/>
    </xf>
    <xf numFmtId="164" fontId="18" fillId="0" borderId="80" xfId="0" applyNumberFormat="1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>
      <alignment horizontal="right"/>
    </xf>
    <xf numFmtId="0" fontId="92" fillId="13" borderId="81" xfId="0" applyFont="1" applyFill="1" applyBorder="1"/>
    <xf numFmtId="0" fontId="0" fillId="14" borderId="81" xfId="0" applyFont="1" applyFill="1" applyBorder="1"/>
    <xf numFmtId="0" fontId="0" fillId="0" borderId="81" xfId="0" applyFont="1" applyBorder="1"/>
    <xf numFmtId="0" fontId="52" fillId="0" borderId="0" xfId="0" applyFont="1" applyAlignment="1">
      <alignment horizontal="right" vertical="top" wrapText="1"/>
    </xf>
    <xf numFmtId="0" fontId="98" fillId="11" borderId="4" xfId="0" applyFont="1" applyFill="1" applyBorder="1"/>
    <xf numFmtId="0" fontId="98" fillId="11" borderId="4" xfId="0" applyFont="1" applyFill="1" applyBorder="1" applyAlignment="1">
      <alignment horizontal="left" vertical="top" wrapText="1"/>
    </xf>
    <xf numFmtId="0" fontId="98" fillId="11" borderId="4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right" vertical="top" wrapText="1"/>
    </xf>
    <xf numFmtId="0" fontId="98" fillId="0" borderId="0" xfId="0" applyFont="1"/>
    <xf numFmtId="0" fontId="12" fillId="0" borderId="0" xfId="1" applyProtection="1">
      <protection hidden="1"/>
    </xf>
    <xf numFmtId="0" fontId="32" fillId="0" borderId="44" xfId="0" applyFont="1" applyFill="1" applyBorder="1" applyAlignment="1">
      <alignment horizontal="center" vertical="center" wrapText="1"/>
    </xf>
    <xf numFmtId="0" fontId="32" fillId="0" borderId="43" xfId="0" applyFont="1" applyFill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center" vertical="center" wrapText="1"/>
    </xf>
    <xf numFmtId="0" fontId="32" fillId="0" borderId="62" xfId="0" applyFont="1" applyFill="1" applyBorder="1" applyAlignment="1">
      <alignment horizontal="center" vertical="center" wrapText="1"/>
    </xf>
    <xf numFmtId="0" fontId="99" fillId="0" borderId="0" xfId="0" applyFont="1" applyAlignment="1" applyProtection="1">
      <alignment horizontal="center" vertical="center"/>
      <protection hidden="1"/>
    </xf>
    <xf numFmtId="0" fontId="100" fillId="0" borderId="0" xfId="0" applyFont="1" applyAlignment="1" applyProtection="1">
      <alignment horizontal="center" vertical="center"/>
      <protection hidden="1"/>
    </xf>
    <xf numFmtId="0" fontId="87" fillId="0" borderId="0" xfId="0" applyFont="1" applyProtection="1">
      <protection hidden="1"/>
    </xf>
    <xf numFmtId="0" fontId="87" fillId="0" borderId="0" xfId="0" applyFont="1" applyBorder="1" applyAlignment="1" applyProtection="1">
      <alignment horizontal="center" vertical="center"/>
      <protection hidden="1"/>
    </xf>
    <xf numFmtId="49" fontId="100" fillId="0" borderId="0" xfId="0" applyNumberFormat="1" applyFont="1" applyAlignment="1" applyProtection="1">
      <alignment horizontal="center" vertical="center"/>
      <protection hidden="1"/>
    </xf>
    <xf numFmtId="49" fontId="101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100" fillId="0" borderId="0" xfId="0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58" fillId="0" borderId="0" xfId="0" applyFont="1" applyFill="1" applyBorder="1" applyAlignment="1" applyProtection="1">
      <alignment horizontal="left"/>
      <protection hidden="1"/>
    </xf>
    <xf numFmtId="0" fontId="72" fillId="7" borderId="4" xfId="0" applyFont="1" applyFill="1" applyBorder="1" applyAlignment="1" applyProtection="1">
      <alignment horizontal="center" vertical="center" wrapText="1"/>
      <protection hidden="1"/>
    </xf>
    <xf numFmtId="0" fontId="55" fillId="2" borderId="4" xfId="0" applyFont="1" applyFill="1" applyBorder="1" applyAlignment="1" applyProtection="1">
      <alignment horizontal="center" vertical="center" wrapText="1"/>
      <protection hidden="1"/>
    </xf>
    <xf numFmtId="0" fontId="72" fillId="2" borderId="27" xfId="0" applyFont="1" applyFill="1" applyBorder="1" applyAlignment="1" applyProtection="1">
      <alignment horizontal="right" vertical="center" wrapText="1"/>
      <protection hidden="1"/>
    </xf>
    <xf numFmtId="0" fontId="72" fillId="2" borderId="0" xfId="0" applyFont="1" applyFill="1" applyBorder="1" applyAlignment="1" applyProtection="1">
      <alignment horizontal="right" vertical="center" wrapText="1"/>
      <protection hidden="1"/>
    </xf>
    <xf numFmtId="0" fontId="55" fillId="2" borderId="0" xfId="0" applyFont="1" applyFill="1" applyBorder="1" applyAlignment="1" applyProtection="1">
      <alignment horizontal="center" vertical="center" wrapText="1"/>
      <protection hidden="1"/>
    </xf>
    <xf numFmtId="0" fontId="55" fillId="2" borderId="28" xfId="0" applyFont="1" applyFill="1" applyBorder="1" applyAlignment="1" applyProtection="1">
      <alignment horizontal="center" vertical="center" wrapText="1"/>
      <protection hidden="1"/>
    </xf>
    <xf numFmtId="0" fontId="55" fillId="2" borderId="0" xfId="0" applyFont="1" applyFill="1" applyBorder="1" applyProtection="1">
      <protection hidden="1"/>
    </xf>
    <xf numFmtId="0" fontId="55" fillId="2" borderId="28" xfId="0" applyFont="1" applyFill="1" applyBorder="1" applyProtection="1">
      <protection hidden="1"/>
    </xf>
    <xf numFmtId="0" fontId="84" fillId="12" borderId="0" xfId="0" applyFont="1" applyFill="1" applyBorder="1" applyAlignment="1">
      <alignment horizontal="center" vertical="center"/>
    </xf>
    <xf numFmtId="0" fontId="84" fillId="12" borderId="68" xfId="0" applyFont="1" applyFill="1" applyBorder="1" applyAlignment="1">
      <alignment horizontal="center" vertical="center"/>
    </xf>
    <xf numFmtId="0" fontId="84" fillId="12" borderId="54" xfId="0" applyFont="1" applyFill="1" applyBorder="1" applyAlignment="1">
      <alignment horizontal="center" vertical="center"/>
    </xf>
    <xf numFmtId="0" fontId="84" fillId="12" borderId="55" xfId="0" applyFont="1" applyFill="1" applyBorder="1" applyAlignment="1">
      <alignment horizontal="center" vertical="center"/>
    </xf>
    <xf numFmtId="0" fontId="89" fillId="12" borderId="43" xfId="0" applyFont="1" applyFill="1" applyBorder="1" applyAlignment="1">
      <alignment horizontal="center" vertical="center"/>
    </xf>
    <xf numFmtId="0" fontId="89" fillId="12" borderId="44" xfId="0" applyFont="1" applyFill="1" applyBorder="1" applyAlignment="1">
      <alignment horizontal="center" vertical="center"/>
    </xf>
    <xf numFmtId="0" fontId="89" fillId="12" borderId="56" xfId="0" applyFont="1" applyFill="1" applyBorder="1" applyAlignment="1">
      <alignment horizontal="center" vertical="center"/>
    </xf>
    <xf numFmtId="0" fontId="85" fillId="12" borderId="43" xfId="0" applyFont="1" applyFill="1" applyBorder="1" applyAlignment="1">
      <alignment horizontal="center" vertical="center"/>
    </xf>
    <xf numFmtId="0" fontId="85" fillId="12" borderId="44" xfId="0" applyFont="1" applyFill="1" applyBorder="1" applyAlignment="1">
      <alignment horizontal="center" vertical="center"/>
    </xf>
    <xf numFmtId="0" fontId="85" fillId="12" borderId="62" xfId="0" applyFont="1" applyFill="1" applyBorder="1" applyAlignment="1">
      <alignment horizontal="center" vertical="center"/>
    </xf>
    <xf numFmtId="0" fontId="85" fillId="12" borderId="32" xfId="0" applyFont="1" applyFill="1" applyBorder="1" applyAlignment="1">
      <alignment horizontal="center" vertical="center"/>
    </xf>
    <xf numFmtId="0" fontId="85" fillId="12" borderId="63" xfId="0" applyFont="1" applyFill="1" applyBorder="1" applyAlignment="1">
      <alignment horizontal="center" vertical="center"/>
    </xf>
    <xf numFmtId="0" fontId="85" fillId="12" borderId="33" xfId="0" applyFont="1" applyFill="1" applyBorder="1" applyAlignment="1">
      <alignment horizontal="center" vertical="center"/>
    </xf>
    <xf numFmtId="0" fontId="85" fillId="12" borderId="56" xfId="0" applyFont="1" applyFill="1" applyBorder="1" applyAlignment="1">
      <alignment horizontal="center" vertical="center"/>
    </xf>
    <xf numFmtId="0" fontId="62" fillId="3" borderId="18" xfId="0" applyFont="1" applyFill="1" applyBorder="1" applyAlignment="1">
      <alignment horizontal="center" vertical="center"/>
    </xf>
    <xf numFmtId="0" fontId="31" fillId="0" borderId="67" xfId="0" applyFont="1" applyFill="1" applyBorder="1" applyAlignment="1" applyProtection="1">
      <alignment horizontal="center" vertical="center" wrapText="1"/>
      <protection hidden="1"/>
    </xf>
    <xf numFmtId="0" fontId="31" fillId="0" borderId="63" xfId="0" applyFont="1" applyFill="1" applyBorder="1" applyAlignment="1" applyProtection="1">
      <alignment horizontal="center" vertical="center"/>
      <protection hidden="1"/>
    </xf>
    <xf numFmtId="0" fontId="31" fillId="0" borderId="64" xfId="0" applyFont="1" applyFill="1" applyBorder="1" applyAlignment="1" applyProtection="1">
      <alignment horizontal="center" vertical="center"/>
      <protection hidden="1"/>
    </xf>
    <xf numFmtId="0" fontId="31" fillId="0" borderId="31" xfId="0" applyFont="1" applyFill="1" applyBorder="1" applyAlignment="1" applyProtection="1">
      <alignment horizontal="center" vertical="center"/>
      <protection hidden="1"/>
    </xf>
    <xf numFmtId="0" fontId="31" fillId="0" borderId="65" xfId="0" applyFont="1" applyFill="1" applyBorder="1" applyAlignment="1" applyProtection="1">
      <alignment horizontal="center" vertical="center" wrapText="1"/>
      <protection hidden="1"/>
    </xf>
    <xf numFmtId="0" fontId="31" fillId="0" borderId="33" xfId="0" applyFont="1" applyFill="1" applyBorder="1" applyAlignment="1" applyProtection="1">
      <alignment horizontal="center" vertical="center" wrapText="1"/>
      <protection hidden="1"/>
    </xf>
    <xf numFmtId="0" fontId="31" fillId="0" borderId="62" xfId="0" applyFont="1" applyFill="1" applyBorder="1" applyAlignment="1" applyProtection="1">
      <alignment horizontal="center" vertical="center" wrapText="1"/>
      <protection hidden="1"/>
    </xf>
    <xf numFmtId="0" fontId="91" fillId="0" borderId="43" xfId="0" applyFont="1" applyFill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3" fillId="0" borderId="0" xfId="0" applyFont="1" applyAlignment="1" applyProtection="1">
      <alignment horizontal="left" vertical="top" indent="1"/>
      <protection hidden="1"/>
    </xf>
    <xf numFmtId="0" fontId="62" fillId="3" borderId="24" xfId="0" applyFont="1" applyFill="1" applyBorder="1" applyAlignment="1">
      <alignment horizontal="center" vertical="center"/>
    </xf>
    <xf numFmtId="0" fontId="62" fillId="3" borderId="20" xfId="0" applyFont="1" applyFill="1" applyBorder="1" applyAlignment="1">
      <alignment horizontal="center"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110" fillId="0" borderId="0" xfId="0" quotePrefix="1" applyFont="1" applyAlignment="1">
      <alignment vertical="top"/>
    </xf>
    <xf numFmtId="0" fontId="111" fillId="10" borderId="18" xfId="2" applyFont="1" applyBorder="1">
      <alignment horizontal="center" vertical="center" wrapText="1"/>
    </xf>
    <xf numFmtId="0" fontId="111" fillId="10" borderId="19" xfId="2" applyFont="1" applyBorder="1">
      <alignment horizontal="center" vertical="center" wrapText="1"/>
    </xf>
    <xf numFmtId="0" fontId="111" fillId="10" borderId="20" xfId="2" applyFont="1" applyBorder="1">
      <alignment horizontal="center" vertical="center" wrapText="1"/>
    </xf>
    <xf numFmtId="0" fontId="111" fillId="10" borderId="17" xfId="2" applyFont="1" applyBorder="1">
      <alignment horizontal="center" vertical="center" wrapText="1"/>
    </xf>
    <xf numFmtId="0" fontId="111" fillId="3" borderId="24" xfId="0" applyFont="1" applyFill="1" applyBorder="1" applyAlignment="1">
      <alignment horizontal="center" vertical="center" wrapText="1"/>
    </xf>
    <xf numFmtId="0" fontId="111" fillId="3" borderId="18" xfId="0" applyFont="1" applyFill="1" applyBorder="1" applyAlignment="1">
      <alignment horizontal="center" vertical="center" wrapText="1"/>
    </xf>
    <xf numFmtId="0" fontId="111" fillId="3" borderId="20" xfId="0" applyFont="1" applyFill="1" applyBorder="1" applyAlignment="1">
      <alignment horizontal="center" vertical="center" wrapText="1"/>
    </xf>
    <xf numFmtId="0" fontId="113" fillId="3" borderId="18" xfId="1" applyFont="1" applyFill="1" applyBorder="1" applyAlignment="1">
      <alignment horizontal="center" vertical="center" wrapText="1"/>
    </xf>
    <xf numFmtId="0" fontId="113" fillId="3" borderId="20" xfId="1" applyFont="1" applyFill="1" applyBorder="1" applyAlignment="1">
      <alignment horizontal="center" vertical="center" wrapText="1"/>
    </xf>
    <xf numFmtId="0" fontId="111" fillId="3" borderId="24" xfId="0" applyFont="1" applyFill="1" applyBorder="1" applyAlignment="1" applyProtection="1">
      <alignment horizontal="center" vertical="center" wrapText="1"/>
      <protection hidden="1"/>
    </xf>
    <xf numFmtId="0" fontId="111" fillId="3" borderId="18" xfId="0" applyFont="1" applyFill="1" applyBorder="1" applyAlignment="1" applyProtection="1">
      <alignment horizontal="center" vertical="center" wrapText="1"/>
      <protection hidden="1"/>
    </xf>
    <xf numFmtId="0" fontId="111" fillId="3" borderId="20" xfId="0" applyFont="1" applyFill="1" applyBorder="1" applyAlignment="1" applyProtection="1">
      <alignment horizontal="center" vertical="center" wrapText="1"/>
      <protection hidden="1"/>
    </xf>
    <xf numFmtId="0" fontId="114" fillId="3" borderId="24" xfId="0" applyFont="1" applyFill="1" applyBorder="1" applyAlignment="1" applyProtection="1">
      <alignment horizontal="center" vertical="center" wrapText="1"/>
      <protection hidden="1"/>
    </xf>
    <xf numFmtId="0" fontId="114" fillId="3" borderId="18" xfId="0" applyFont="1" applyFill="1" applyBorder="1" applyAlignment="1" applyProtection="1">
      <alignment horizontal="center" vertical="center" wrapText="1"/>
      <protection hidden="1"/>
    </xf>
    <xf numFmtId="0" fontId="114" fillId="3" borderId="20" xfId="0" applyFont="1" applyFill="1" applyBorder="1" applyAlignment="1" applyProtection="1">
      <alignment horizontal="center" vertical="center" wrapText="1"/>
      <protection hidden="1"/>
    </xf>
    <xf numFmtId="0" fontId="111" fillId="10" borderId="24" xfId="0" applyFont="1" applyFill="1" applyBorder="1" applyAlignment="1">
      <alignment horizontal="center" vertical="center" wrapText="1"/>
    </xf>
    <xf numFmtId="0" fontId="111" fillId="10" borderId="19" xfId="0" applyFont="1" applyFill="1" applyBorder="1" applyAlignment="1">
      <alignment horizontal="center" vertical="center" wrapText="1"/>
    </xf>
    <xf numFmtId="0" fontId="113" fillId="3" borderId="17" xfId="1" applyFont="1" applyFill="1" applyBorder="1" applyAlignment="1">
      <alignment horizontal="center" vertical="center" wrapText="1"/>
    </xf>
    <xf numFmtId="0" fontId="113" fillId="3" borderId="19" xfId="1" applyFont="1" applyFill="1" applyBorder="1" applyAlignment="1">
      <alignment horizontal="center" vertical="center" wrapText="1"/>
    </xf>
    <xf numFmtId="0" fontId="111" fillId="3" borderId="17" xfId="0" applyFont="1" applyFill="1" applyBorder="1" applyAlignment="1">
      <alignment horizontal="center" vertical="center" wrapText="1"/>
    </xf>
    <xf numFmtId="0" fontId="111" fillId="10" borderId="17" xfId="0" applyFont="1" applyFill="1" applyBorder="1" applyAlignment="1">
      <alignment horizontal="center" vertical="center" wrapText="1"/>
    </xf>
    <xf numFmtId="0" fontId="111" fillId="10" borderId="20" xfId="0" applyFont="1" applyFill="1" applyBorder="1" applyAlignment="1">
      <alignment horizontal="center" vertical="center" wrapText="1"/>
    </xf>
    <xf numFmtId="0" fontId="33" fillId="0" borderId="0" xfId="0" applyFont="1" applyProtection="1">
      <protection locked="0"/>
    </xf>
    <xf numFmtId="0" fontId="33" fillId="0" borderId="0" xfId="0" applyFont="1" applyFill="1" applyProtection="1">
      <protection locked="0"/>
    </xf>
    <xf numFmtId="0" fontId="40" fillId="0" borderId="0" xfId="0" applyFont="1" applyBorder="1" applyAlignment="1" applyProtection="1">
      <alignment horizontal="left"/>
      <protection locked="0"/>
    </xf>
    <xf numFmtId="1" fontId="33" fillId="0" borderId="54" xfId="0" applyNumberFormat="1" applyFont="1" applyFill="1" applyBorder="1" applyAlignment="1" applyProtection="1">
      <alignment horizontal="center" vertical="center" wrapText="1"/>
      <protection locked="0"/>
    </xf>
    <xf numFmtId="1" fontId="33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20" fillId="0" borderId="0" xfId="0" applyFont="1" applyAlignment="1" applyProtection="1">
      <alignment horizontal="center" vertical="center"/>
      <protection hidden="1"/>
    </xf>
    <xf numFmtId="0" fontId="63" fillId="8" borderId="0" xfId="0" applyFont="1" applyFill="1" applyBorder="1" applyAlignment="1" applyProtection="1">
      <alignment horizontal="center" vertical="center" wrapText="1"/>
      <protection locked="0"/>
    </xf>
    <xf numFmtId="0" fontId="63" fillId="8" borderId="54" xfId="0" applyFont="1" applyFill="1" applyBorder="1" applyAlignment="1" applyProtection="1">
      <alignment horizontal="center" vertical="center" wrapText="1"/>
      <protection locked="0"/>
    </xf>
    <xf numFmtId="1" fontId="63" fillId="8" borderId="55" xfId="0" applyNumberFormat="1" applyFont="1" applyFill="1" applyBorder="1" applyAlignment="1" applyProtection="1">
      <alignment horizontal="center" vertical="center" wrapText="1"/>
      <protection locked="0"/>
    </xf>
    <xf numFmtId="0" fontId="63" fillId="8" borderId="55" xfId="0" applyFont="1" applyFill="1" applyBorder="1" applyAlignment="1" applyProtection="1">
      <alignment horizontal="center" vertical="center" wrapText="1"/>
      <protection locked="0"/>
    </xf>
    <xf numFmtId="0" fontId="63" fillId="0" borderId="0" xfId="0" applyFont="1" applyFill="1" applyBorder="1" applyAlignment="1" applyProtection="1">
      <alignment horizontal="center" vertical="center" wrapText="1"/>
      <protection locked="0"/>
    </xf>
    <xf numFmtId="0" fontId="63" fillId="0" borderId="55" xfId="0" applyFont="1" applyFill="1" applyBorder="1" applyAlignment="1" applyProtection="1">
      <alignment horizontal="center" vertical="center" wrapText="1"/>
      <protection locked="0"/>
    </xf>
    <xf numFmtId="0" fontId="63" fillId="9" borderId="0" xfId="0" applyFont="1" applyFill="1" applyBorder="1" applyAlignment="1" applyProtection="1">
      <alignment horizontal="center" vertical="center" wrapText="1"/>
      <protection locked="0"/>
    </xf>
    <xf numFmtId="0" fontId="63" fillId="9" borderId="55" xfId="0" applyFont="1" applyFill="1" applyBorder="1" applyAlignment="1" applyProtection="1">
      <alignment horizontal="center" vertical="center" wrapText="1"/>
      <protection locked="0"/>
    </xf>
    <xf numFmtId="1" fontId="63" fillId="0" borderId="59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21" xfId="0" applyFont="1" applyFill="1" applyBorder="1" applyAlignment="1" applyProtection="1">
      <alignment horizontal="center" vertical="center" wrapText="1"/>
      <protection locked="0"/>
    </xf>
    <xf numFmtId="0" fontId="63" fillId="0" borderId="13" xfId="0" applyFont="1" applyFill="1" applyBorder="1" applyAlignment="1" applyProtection="1">
      <alignment horizontal="center" vertical="center" wrapText="1"/>
      <protection locked="0"/>
    </xf>
    <xf numFmtId="0" fontId="63" fillId="0" borderId="54" xfId="0" applyFont="1" applyFill="1" applyBorder="1" applyAlignment="1" applyProtection="1">
      <alignment horizontal="center" vertical="center" wrapText="1"/>
      <protection locked="0"/>
    </xf>
    <xf numFmtId="1" fontId="6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42" xfId="0" applyFont="1" applyFill="1" applyBorder="1" applyAlignment="1" applyProtection="1">
      <alignment horizontal="center" vertical="center" wrapText="1"/>
      <protection locked="0"/>
    </xf>
    <xf numFmtId="0" fontId="63" fillId="0" borderId="14" xfId="0" applyFont="1" applyFill="1" applyBorder="1" applyAlignment="1" applyProtection="1">
      <alignment horizontal="center" vertical="center" wrapText="1"/>
      <protection locked="0"/>
    </xf>
    <xf numFmtId="1" fontId="6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24" xfId="0" applyFont="1" applyFill="1" applyBorder="1" applyAlignment="1" applyProtection="1">
      <alignment horizontal="center" vertical="center" wrapText="1"/>
      <protection locked="0"/>
    </xf>
    <xf numFmtId="0" fontId="6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54" xfId="0" applyFont="1" applyFill="1" applyBorder="1" applyAlignment="1" applyProtection="1">
      <alignment horizontal="center" vertical="center" wrapText="1"/>
      <protection locked="0"/>
    </xf>
    <xf numFmtId="0" fontId="82" fillId="11" borderId="0" xfId="0" applyFont="1" applyFill="1" applyBorder="1" applyAlignment="1" applyProtection="1">
      <alignment horizontal="center" vertical="center" wrapText="1"/>
      <protection hidden="1"/>
    </xf>
    <xf numFmtId="0" fontId="82" fillId="11" borderId="54" xfId="0" applyFont="1" applyFill="1" applyBorder="1" applyAlignment="1" applyProtection="1">
      <alignment horizontal="center" vertical="center" wrapText="1"/>
      <protection hidden="1"/>
    </xf>
    <xf numFmtId="0" fontId="82" fillId="11" borderId="55" xfId="0" applyFont="1" applyFill="1" applyBorder="1" applyAlignment="1" applyProtection="1">
      <alignment horizontal="center" vertical="center" wrapText="1"/>
      <protection hidden="1"/>
    </xf>
    <xf numFmtId="0" fontId="82" fillId="11" borderId="54" xfId="0" applyNumberFormat="1" applyFont="1" applyFill="1" applyBorder="1" applyAlignment="1" applyProtection="1">
      <alignment horizontal="center" vertical="center" wrapText="1"/>
      <protection hidden="1"/>
    </xf>
    <xf numFmtId="0" fontId="82" fillId="11" borderId="0" xfId="0" applyNumberFormat="1" applyFont="1" applyFill="1" applyBorder="1" applyAlignment="1" applyProtection="1">
      <alignment horizontal="center" vertical="center" wrapText="1"/>
      <protection hidden="1"/>
    </xf>
    <xf numFmtId="0" fontId="82" fillId="11" borderId="55" xfId="0" applyNumberFormat="1" applyFont="1" applyFill="1" applyBorder="1" applyAlignment="1" applyProtection="1">
      <alignment horizontal="center" vertical="center" wrapText="1"/>
      <protection hidden="1"/>
    </xf>
    <xf numFmtId="0" fontId="82" fillId="11" borderId="43" xfId="0" applyFont="1" applyFill="1" applyBorder="1" applyAlignment="1" applyProtection="1">
      <alignment horizontal="center" vertical="center" wrapText="1"/>
      <protection hidden="1"/>
    </xf>
    <xf numFmtId="0" fontId="82" fillId="11" borderId="44" xfId="0" applyFont="1" applyFill="1" applyBorder="1" applyAlignment="1" applyProtection="1">
      <alignment horizontal="center" vertical="center" wrapText="1"/>
      <protection hidden="1"/>
    </xf>
    <xf numFmtId="0" fontId="82" fillId="11" borderId="56" xfId="0" applyFont="1" applyFill="1" applyBorder="1" applyAlignment="1" applyProtection="1">
      <alignment horizontal="center" vertical="center" wrapText="1"/>
      <protection hidden="1"/>
    </xf>
    <xf numFmtId="0" fontId="82" fillId="11" borderId="43" xfId="0" applyFont="1" applyFill="1" applyBorder="1" applyAlignment="1" applyProtection="1">
      <alignment horizontal="center" vertical="center"/>
      <protection hidden="1"/>
    </xf>
    <xf numFmtId="0" fontId="82" fillId="11" borderId="44" xfId="0" applyFont="1" applyFill="1" applyBorder="1" applyAlignment="1" applyProtection="1">
      <alignment horizontal="center" vertical="center"/>
      <protection hidden="1"/>
    </xf>
    <xf numFmtId="1" fontId="63" fillId="0" borderId="64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43" xfId="0" applyFont="1" applyFill="1" applyBorder="1" applyAlignment="1" applyProtection="1">
      <alignment horizontal="center" vertical="center" wrapText="1"/>
      <protection locked="0"/>
    </xf>
    <xf numFmtId="0" fontId="63" fillId="0" borderId="44" xfId="0" applyFont="1" applyFill="1" applyBorder="1" applyAlignment="1" applyProtection="1">
      <alignment horizontal="center" vertical="center" wrapText="1"/>
      <protection locked="0"/>
    </xf>
    <xf numFmtId="0" fontId="63" fillId="0" borderId="56" xfId="0" applyFont="1" applyFill="1" applyBorder="1" applyAlignment="1" applyProtection="1">
      <alignment horizontal="center" vertical="center" wrapText="1"/>
      <protection locked="0"/>
    </xf>
    <xf numFmtId="1" fontId="63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55" xfId="0" applyFont="1" applyBorder="1" applyAlignment="1" applyProtection="1">
      <alignment horizontal="center" vertical="center" wrapText="1"/>
      <protection locked="0"/>
    </xf>
    <xf numFmtId="0" fontId="63" fillId="0" borderId="54" xfId="0" applyFont="1" applyBorder="1" applyAlignment="1" applyProtection="1">
      <alignment horizontal="center" vertical="center" wrapText="1"/>
      <protection locked="0"/>
    </xf>
    <xf numFmtId="0" fontId="63" fillId="0" borderId="0" xfId="0" applyFont="1" applyBorder="1" applyAlignment="1" applyProtection="1">
      <alignment horizontal="center" vertical="center" wrapText="1"/>
      <protection locked="0"/>
    </xf>
    <xf numFmtId="0" fontId="63" fillId="0" borderId="64" xfId="0" applyFont="1" applyBorder="1" applyAlignment="1" applyProtection="1">
      <alignment horizontal="center" vertical="center" wrapText="1"/>
      <protection locked="0"/>
    </xf>
    <xf numFmtId="0" fontId="63" fillId="0" borderId="56" xfId="0" applyFont="1" applyBorder="1" applyAlignment="1" applyProtection="1">
      <alignment horizontal="center" vertical="center" wrapText="1"/>
      <protection locked="0"/>
    </xf>
    <xf numFmtId="0" fontId="63" fillId="0" borderId="43" xfId="0" applyFont="1" applyBorder="1" applyAlignment="1" applyProtection="1">
      <alignment horizontal="center" vertical="center" wrapText="1"/>
      <protection locked="0"/>
    </xf>
    <xf numFmtId="0" fontId="63" fillId="0" borderId="44" xfId="0" applyFont="1" applyBorder="1" applyAlignment="1" applyProtection="1">
      <alignment horizontal="center" vertical="center" wrapText="1"/>
      <protection locked="0"/>
    </xf>
    <xf numFmtId="1" fontId="63" fillId="0" borderId="54" xfId="0" applyNumberFormat="1" applyFont="1" applyFill="1" applyBorder="1" applyAlignment="1" applyProtection="1">
      <alignment horizontal="center" vertical="center" wrapText="1"/>
      <protection locked="0"/>
    </xf>
    <xf numFmtId="1" fontId="63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63" fillId="9" borderId="54" xfId="0" applyFont="1" applyFill="1" applyBorder="1" applyAlignment="1" applyProtection="1">
      <alignment horizontal="center" vertical="center" wrapText="1"/>
      <protection locked="0"/>
    </xf>
    <xf numFmtId="0" fontId="63" fillId="9" borderId="43" xfId="0" applyFont="1" applyFill="1" applyBorder="1" applyAlignment="1" applyProtection="1">
      <alignment horizontal="center" vertical="center" wrapText="1"/>
      <protection locked="0"/>
    </xf>
    <xf numFmtId="0" fontId="63" fillId="9" borderId="44" xfId="0" applyFont="1" applyFill="1" applyBorder="1" applyAlignment="1" applyProtection="1">
      <alignment horizontal="center" vertical="center" wrapText="1"/>
      <protection locked="0"/>
    </xf>
    <xf numFmtId="0" fontId="63" fillId="9" borderId="56" xfId="0" applyFont="1" applyFill="1" applyBorder="1" applyAlignment="1" applyProtection="1">
      <alignment horizontal="center" vertical="center" wrapText="1"/>
      <protection locked="0"/>
    </xf>
    <xf numFmtId="0" fontId="33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73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70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54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63" fillId="0" borderId="0" xfId="0" applyFont="1"/>
    <xf numFmtId="0" fontId="62" fillId="0" borderId="0" xfId="0" applyFont="1" applyAlignment="1">
      <alignment horizontal="left" vertical="center" indent="2"/>
    </xf>
    <xf numFmtId="0" fontId="62" fillId="0" borderId="0" xfId="0" applyFont="1" applyAlignment="1">
      <alignment horizontal="right" vertical="center"/>
    </xf>
    <xf numFmtId="0" fontId="63" fillId="0" borderId="4" xfId="0" applyFont="1" applyBorder="1" applyAlignment="1" applyProtection="1">
      <alignment horizontal="left" vertical="center"/>
      <protection locked="0"/>
    </xf>
    <xf numFmtId="14" fontId="63" fillId="0" borderId="4" xfId="0" applyNumberFormat="1" applyFont="1" applyBorder="1" applyAlignment="1" applyProtection="1">
      <alignment horizontal="left" vertical="center"/>
      <protection locked="0"/>
    </xf>
    <xf numFmtId="0" fontId="62" fillId="0" borderId="0" xfId="0" applyFont="1" applyAlignment="1">
      <alignment horizontal="right" vertical="center" indent="1"/>
    </xf>
    <xf numFmtId="166" fontId="18" fillId="0" borderId="13" xfId="0" applyNumberFormat="1" applyFont="1" applyBorder="1" applyAlignment="1" applyProtection="1">
      <alignment horizontal="center" vertical="center" wrapText="1"/>
      <protection hidden="1"/>
    </xf>
    <xf numFmtId="0" fontId="10" fillId="0" borderId="19" xfId="0" applyFont="1" applyFill="1" applyBorder="1" applyAlignment="1" applyProtection="1">
      <alignment vertical="center"/>
      <protection hidden="1"/>
    </xf>
    <xf numFmtId="0" fontId="10" fillId="0" borderId="17" xfId="0" applyFont="1" applyFill="1" applyBorder="1" applyAlignment="1" applyProtection="1">
      <alignment vertical="center"/>
      <protection hidden="1"/>
    </xf>
    <xf numFmtId="0" fontId="10" fillId="0" borderId="1" xfId="0" applyFont="1" applyFill="1" applyBorder="1" applyAlignment="1" applyProtection="1">
      <alignment vertical="center"/>
      <protection hidden="1"/>
    </xf>
    <xf numFmtId="0" fontId="10" fillId="0" borderId="3" xfId="0" applyFont="1" applyFill="1" applyBorder="1" applyAlignment="1" applyProtection="1">
      <alignment vertical="center"/>
      <protection hidden="1"/>
    </xf>
    <xf numFmtId="0" fontId="10" fillId="0" borderId="14" xfId="0" applyFont="1" applyFill="1" applyBorder="1" applyAlignment="1" applyProtection="1">
      <alignment vertical="center"/>
      <protection hidden="1"/>
    </xf>
    <xf numFmtId="0" fontId="10" fillId="0" borderId="20" xfId="0" applyFont="1" applyFill="1" applyBorder="1" applyAlignment="1" applyProtection="1">
      <alignment vertical="center"/>
      <protection hidden="1"/>
    </xf>
    <xf numFmtId="0" fontId="75" fillId="0" borderId="0" xfId="0" applyNumberFormat="1" applyFont="1" applyBorder="1" applyAlignment="1" applyProtection="1">
      <alignment vertical="center" wrapText="1"/>
      <protection hidden="1"/>
    </xf>
    <xf numFmtId="0" fontId="10" fillId="2" borderId="36" xfId="0" applyFont="1" applyFill="1" applyBorder="1" applyAlignment="1" applyProtection="1">
      <alignment horizontal="center" vertical="center"/>
      <protection hidden="1"/>
    </xf>
    <xf numFmtId="165" fontId="78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78" fillId="4" borderId="34" xfId="0" applyNumberFormat="1" applyFont="1" applyFill="1" applyBorder="1" applyAlignment="1" applyProtection="1">
      <alignment horizontal="center" vertical="center" wrapText="1"/>
      <protection hidden="1"/>
    </xf>
    <xf numFmtId="165" fontId="78" fillId="4" borderId="92" xfId="0" applyNumberFormat="1" applyFont="1" applyFill="1" applyBorder="1" applyAlignment="1" applyProtection="1">
      <alignment horizontal="center" vertical="center" wrapText="1"/>
      <protection hidden="1"/>
    </xf>
    <xf numFmtId="0" fontId="58" fillId="0" borderId="24" xfId="0" applyFont="1" applyBorder="1" applyAlignment="1" applyProtection="1">
      <alignment horizontal="center" vertical="center"/>
      <protection hidden="1"/>
    </xf>
    <xf numFmtId="0" fontId="58" fillId="0" borderId="20" xfId="0" applyFont="1" applyBorder="1" applyAlignment="1" applyProtection="1">
      <alignment horizontal="center" vertical="center"/>
      <protection hidden="1"/>
    </xf>
    <xf numFmtId="165" fontId="78" fillId="4" borderId="96" xfId="0" applyNumberFormat="1" applyFont="1" applyFill="1" applyBorder="1" applyAlignment="1" applyProtection="1">
      <alignment horizontal="center" vertical="center" wrapText="1"/>
      <protection hidden="1"/>
    </xf>
    <xf numFmtId="165" fontId="78" fillId="4" borderId="85" xfId="0" applyNumberFormat="1" applyFont="1" applyFill="1" applyBorder="1" applyAlignment="1" applyProtection="1">
      <alignment horizontal="center" vertical="center" wrapText="1"/>
      <protection hidden="1"/>
    </xf>
    <xf numFmtId="165" fontId="78" fillId="4" borderId="84" xfId="0" applyNumberFormat="1" applyFont="1" applyFill="1" applyBorder="1" applyAlignment="1" applyProtection="1">
      <alignment horizontal="center" vertical="center" wrapText="1"/>
      <protection hidden="1"/>
    </xf>
    <xf numFmtId="164" fontId="18" fillId="0" borderId="21" xfId="0" applyNumberFormat="1" applyFont="1" applyBorder="1" applyAlignment="1" applyProtection="1">
      <alignment horizontal="center" vertical="center" wrapText="1"/>
      <protection hidden="1"/>
    </xf>
    <xf numFmtId="164" fontId="18" fillId="0" borderId="13" xfId="0" applyNumberFormat="1" applyFont="1" applyBorder="1" applyAlignment="1" applyProtection="1">
      <alignment horizontal="center" vertical="center" wrapText="1"/>
      <protection hidden="1"/>
    </xf>
    <xf numFmtId="164" fontId="18" fillId="0" borderId="26" xfId="0" applyNumberFormat="1" applyFont="1" applyBorder="1" applyAlignment="1" applyProtection="1">
      <alignment horizontal="center" vertical="center" wrapText="1"/>
      <protection hidden="1"/>
    </xf>
    <xf numFmtId="164" fontId="18" fillId="0" borderId="25" xfId="0" applyNumberFormat="1" applyFont="1" applyBorder="1" applyAlignment="1" applyProtection="1">
      <alignment horizontal="center" vertical="center" wrapText="1"/>
      <protection hidden="1"/>
    </xf>
    <xf numFmtId="164" fontId="18" fillId="0" borderId="57" xfId="0" applyNumberFormat="1" applyFont="1" applyBorder="1" applyAlignment="1" applyProtection="1">
      <alignment horizontal="center" vertical="center" wrapText="1"/>
      <protection hidden="1"/>
    </xf>
    <xf numFmtId="164" fontId="18" fillId="0" borderId="79" xfId="0" applyNumberFormat="1" applyFont="1" applyBorder="1" applyAlignment="1" applyProtection="1">
      <alignment horizontal="center" vertical="center" wrapText="1"/>
      <protection hidden="1"/>
    </xf>
    <xf numFmtId="164" fontId="18" fillId="0" borderId="78" xfId="0" applyNumberFormat="1" applyFont="1" applyBorder="1" applyAlignment="1" applyProtection="1">
      <alignment horizontal="center" vertical="center" wrapText="1"/>
      <protection hidden="1"/>
    </xf>
    <xf numFmtId="164" fontId="18" fillId="0" borderId="76" xfId="0" applyNumberFormat="1" applyFont="1" applyBorder="1" applyAlignment="1" applyProtection="1">
      <alignment horizontal="center" vertical="center" wrapText="1"/>
      <protection hidden="1"/>
    </xf>
    <xf numFmtId="164" fontId="18" fillId="0" borderId="88" xfId="0" applyNumberFormat="1" applyFont="1" applyBorder="1" applyAlignment="1" applyProtection="1">
      <alignment horizontal="center" vertical="center" wrapText="1"/>
      <protection hidden="1"/>
    </xf>
    <xf numFmtId="164" fontId="18" fillId="0" borderId="73" xfId="0" applyNumberFormat="1" applyFont="1" applyBorder="1" applyAlignment="1" applyProtection="1">
      <alignment horizontal="center" vertical="center" wrapText="1"/>
      <protection hidden="1"/>
    </xf>
    <xf numFmtId="164" fontId="18" fillId="0" borderId="59" xfId="0" applyNumberFormat="1" applyFont="1" applyBorder="1" applyAlignment="1" applyProtection="1">
      <alignment horizontal="center" vertical="center" wrapText="1"/>
      <protection hidden="1"/>
    </xf>
    <xf numFmtId="164" fontId="18" fillId="0" borderId="39" xfId="0" applyNumberFormat="1" applyFont="1" applyBorder="1" applyAlignment="1" applyProtection="1">
      <alignment horizontal="center" vertical="center" wrapText="1"/>
      <protection hidden="1"/>
    </xf>
    <xf numFmtId="164" fontId="18" fillId="0" borderId="93" xfId="0" applyNumberFormat="1" applyFont="1" applyBorder="1" applyAlignment="1" applyProtection="1">
      <alignment horizontal="center" vertical="center" wrapText="1"/>
      <protection hidden="1"/>
    </xf>
    <xf numFmtId="164" fontId="20" fillId="0" borderId="24" xfId="0" applyNumberFormat="1" applyFont="1" applyBorder="1" applyAlignment="1" applyProtection="1">
      <alignment horizontal="center" vertical="center"/>
      <protection hidden="1"/>
    </xf>
    <xf numFmtId="164" fontId="20" fillId="0" borderId="20" xfId="0" applyNumberFormat="1" applyFont="1" applyBorder="1" applyAlignment="1" applyProtection="1">
      <alignment horizontal="center" vertical="center"/>
      <protection hidden="1"/>
    </xf>
    <xf numFmtId="164" fontId="20" fillId="0" borderId="16" xfId="0" applyNumberFormat="1" applyFont="1" applyBorder="1" applyAlignment="1" applyProtection="1">
      <alignment horizontal="center" vertical="center"/>
      <protection hidden="1"/>
    </xf>
    <xf numFmtId="164" fontId="20" fillId="0" borderId="35" xfId="0" applyNumberFormat="1" applyFont="1" applyBorder="1" applyAlignment="1" applyProtection="1">
      <alignment horizontal="center" vertical="center"/>
      <protection hidden="1"/>
    </xf>
    <xf numFmtId="0" fontId="63" fillId="8" borderId="54" xfId="0" applyNumberFormat="1" applyFont="1" applyFill="1" applyBorder="1" applyAlignment="1" applyProtection="1">
      <alignment horizontal="center" vertical="center" wrapText="1"/>
      <protection locked="0"/>
    </xf>
    <xf numFmtId="0" fontId="63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8" borderId="55" xfId="0" applyNumberFormat="1" applyFont="1" applyFill="1" applyBorder="1" applyAlignment="1" applyProtection="1">
      <alignment horizontal="center" vertical="center" wrapText="1"/>
      <protection locked="0"/>
    </xf>
    <xf numFmtId="0" fontId="63" fillId="9" borderId="54" xfId="0" applyNumberFormat="1" applyFont="1" applyFill="1" applyBorder="1" applyAlignment="1" applyProtection="1">
      <alignment horizontal="center" vertical="center" wrapText="1"/>
      <protection locked="0"/>
    </xf>
    <xf numFmtId="0" fontId="63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9" borderId="55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73" xfId="0" applyNumberFormat="1" applyFont="1" applyBorder="1" applyAlignment="1" applyProtection="1">
      <alignment horizontal="center" vertical="center"/>
      <protection hidden="1"/>
    </xf>
    <xf numFmtId="164" fontId="18" fillId="0" borderId="59" xfId="0" applyNumberFormat="1" applyFont="1" applyBorder="1" applyAlignment="1" applyProtection="1">
      <alignment horizontal="center" vertical="center"/>
      <protection hidden="1"/>
    </xf>
    <xf numFmtId="164" fontId="18" fillId="0" borderId="26" xfId="0" applyNumberFormat="1" applyFont="1" applyBorder="1" applyAlignment="1" applyProtection="1">
      <alignment horizontal="center" vertical="center"/>
      <protection hidden="1"/>
    </xf>
    <xf numFmtId="164" fontId="18" fillId="0" borderId="42" xfId="0" applyNumberFormat="1" applyFont="1" applyBorder="1" applyAlignment="1" applyProtection="1">
      <alignment horizontal="center" vertical="center"/>
      <protection hidden="1"/>
    </xf>
    <xf numFmtId="164" fontId="18" fillId="0" borderId="14" xfId="0" applyNumberFormat="1" applyFont="1" applyBorder="1" applyAlignment="1" applyProtection="1">
      <alignment horizontal="center" vertical="center"/>
      <protection hidden="1"/>
    </xf>
    <xf numFmtId="164" fontId="18" fillId="0" borderId="3" xfId="0" applyNumberFormat="1" applyFont="1" applyBorder="1" applyAlignment="1" applyProtection="1">
      <alignment horizontal="center" vertical="center"/>
      <protection hidden="1"/>
    </xf>
    <xf numFmtId="164" fontId="18" fillId="0" borderId="79" xfId="0" applyNumberFormat="1" applyFont="1" applyBorder="1" applyAlignment="1" applyProtection="1">
      <alignment horizontal="center" vertical="center"/>
      <protection hidden="1"/>
    </xf>
    <xf numFmtId="164" fontId="18" fillId="0" borderId="78" xfId="0" applyNumberFormat="1" applyFont="1" applyBorder="1" applyAlignment="1" applyProtection="1">
      <alignment horizontal="center" vertical="center"/>
      <protection hidden="1"/>
    </xf>
    <xf numFmtId="164" fontId="18" fillId="0" borderId="76" xfId="0" applyNumberFormat="1" applyFont="1" applyBorder="1" applyAlignment="1" applyProtection="1">
      <alignment horizontal="center" vertical="center"/>
      <protection hidden="1"/>
    </xf>
    <xf numFmtId="0" fontId="10" fillId="0" borderId="58" xfId="0" applyFont="1" applyFill="1" applyBorder="1" applyAlignment="1" applyProtection="1">
      <alignment horizontal="center" vertical="center"/>
      <protection hidden="1"/>
    </xf>
    <xf numFmtId="0" fontId="10" fillId="0" borderId="86" xfId="0" applyFont="1" applyFill="1" applyBorder="1" applyAlignment="1" applyProtection="1">
      <alignment horizontal="center" vertical="center"/>
      <protection hidden="1"/>
    </xf>
    <xf numFmtId="0" fontId="10" fillId="0" borderId="5" xfId="0" applyFont="1" applyFill="1" applyBorder="1" applyAlignment="1" applyProtection="1">
      <alignment horizontal="center" vertical="center"/>
      <protection hidden="1"/>
    </xf>
    <xf numFmtId="0" fontId="10" fillId="0" borderId="39" xfId="0" applyFont="1" applyFill="1" applyBorder="1" applyAlignment="1" applyProtection="1">
      <alignment horizontal="center" vertical="center"/>
      <protection hidden="1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10" fillId="0" borderId="34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0" fillId="0" borderId="37" xfId="0" applyFont="1" applyFill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 applyProtection="1">
      <alignment vertical="center"/>
      <protection hidden="1"/>
    </xf>
    <xf numFmtId="0" fontId="10" fillId="0" borderId="35" xfId="0" applyFont="1" applyFill="1" applyBorder="1" applyAlignment="1" applyProtection="1">
      <alignment vertical="center"/>
      <protection hidden="1"/>
    </xf>
    <xf numFmtId="0" fontId="10" fillId="0" borderId="16" xfId="0" applyFont="1" applyFill="1" applyBorder="1" applyAlignment="1" applyProtection="1">
      <alignment horizontal="center" vertical="center"/>
      <protection hidden="1"/>
    </xf>
    <xf numFmtId="0" fontId="10" fillId="0" borderId="38" xfId="0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164" fontId="17" fillId="2" borderId="46" xfId="0" applyNumberFormat="1" applyFont="1" applyFill="1" applyBorder="1" applyAlignment="1" applyProtection="1">
      <alignment horizontal="center" vertical="center"/>
      <protection hidden="1"/>
    </xf>
    <xf numFmtId="164" fontId="17" fillId="2" borderId="35" xfId="0" applyNumberFormat="1" applyFont="1" applyFill="1" applyBorder="1" applyAlignment="1" applyProtection="1">
      <alignment horizontal="center" vertical="center"/>
      <protection hidden="1"/>
    </xf>
    <xf numFmtId="49" fontId="63" fillId="0" borderId="4" xfId="0" applyNumberFormat="1" applyFont="1" applyBorder="1" applyAlignment="1" applyProtection="1">
      <alignment horizontal="left" vertical="center"/>
      <protection locked="0"/>
    </xf>
    <xf numFmtId="9" fontId="0" fillId="0" borderId="0" xfId="3" applyFont="1" applyProtection="1">
      <protection hidden="1"/>
    </xf>
    <xf numFmtId="9" fontId="0" fillId="0" borderId="0" xfId="0" applyNumberFormat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22" fontId="63" fillId="0" borderId="0" xfId="0" applyNumberFormat="1" applyFont="1"/>
    <xf numFmtId="0" fontId="62" fillId="0" borderId="0" xfId="0" applyFont="1" applyAlignment="1" applyProtection="1">
      <alignment horizontal="right" vertical="center"/>
      <protection locked="0"/>
    </xf>
    <xf numFmtId="0" fontId="52" fillId="2" borderId="0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111" fillId="3" borderId="24" xfId="0" applyFont="1" applyFill="1" applyBorder="1" applyAlignment="1">
      <alignment horizontal="center" vertical="center" wrapText="1"/>
    </xf>
    <xf numFmtId="0" fontId="111" fillId="3" borderId="18" xfId="0" applyFont="1" applyFill="1" applyBorder="1" applyAlignment="1">
      <alignment horizontal="center" vertical="center" wrapText="1"/>
    </xf>
    <xf numFmtId="0" fontId="111" fillId="3" borderId="20" xfId="0" applyFont="1" applyFill="1" applyBorder="1" applyAlignment="1">
      <alignment horizontal="center" vertical="center" wrapText="1"/>
    </xf>
    <xf numFmtId="0" fontId="111" fillId="9" borderId="0" xfId="0" applyFont="1" applyFill="1" applyBorder="1" applyAlignment="1" applyProtection="1">
      <alignment horizontal="left" vertical="center"/>
      <protection hidden="1"/>
    </xf>
    <xf numFmtId="0" fontId="31" fillId="0" borderId="43" xfId="0" applyFont="1" applyFill="1" applyBorder="1" applyAlignment="1" applyProtection="1">
      <alignment horizontal="center" vertical="center"/>
      <protection hidden="1"/>
    </xf>
    <xf numFmtId="0" fontId="63" fillId="0" borderId="5" xfId="0" applyFont="1" applyFill="1" applyBorder="1" applyAlignment="1" applyProtection="1">
      <alignment horizontal="center" vertical="center" wrapText="1"/>
      <protection locked="0"/>
    </xf>
    <xf numFmtId="0" fontId="63" fillId="0" borderId="2" xfId="0" applyFont="1" applyFill="1" applyBorder="1" applyAlignment="1" applyProtection="1">
      <alignment horizontal="center" vertical="center" wrapText="1"/>
      <protection locked="0"/>
    </xf>
    <xf numFmtId="1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4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0" fontId="8" fillId="0" borderId="0" xfId="0" applyFont="1" applyProtection="1">
      <protection locked="0" hidden="1"/>
    </xf>
    <xf numFmtId="0" fontId="125" fillId="13" borderId="99" xfId="0" applyFont="1" applyFill="1" applyBorder="1"/>
    <xf numFmtId="0" fontId="125" fillId="13" borderId="100" xfId="0" applyFont="1" applyFill="1" applyBorder="1"/>
    <xf numFmtId="0" fontId="111" fillId="9" borderId="0" xfId="0" applyFont="1" applyFill="1" applyBorder="1" applyAlignment="1" applyProtection="1">
      <alignment horizontal="left" vertical="center" wrapText="1"/>
      <protection hidden="1"/>
    </xf>
    <xf numFmtId="0" fontId="62" fillId="0" borderId="0" xfId="0" applyFont="1" applyAlignment="1" applyProtection="1">
      <alignment horizontal="center" vertical="center" wrapText="1"/>
      <protection locked="0" hidden="1"/>
    </xf>
    <xf numFmtId="0" fontId="52" fillId="0" borderId="0" xfId="0" applyFont="1" applyAlignment="1">
      <alignment horizontal="center" vertical="center"/>
    </xf>
    <xf numFmtId="0" fontId="125" fillId="13" borderId="100" xfId="0" applyFont="1" applyFill="1" applyBorder="1" applyAlignment="1">
      <alignment horizontal="left" vertical="center"/>
    </xf>
    <xf numFmtId="0" fontId="82" fillId="11" borderId="55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54" xfId="0" applyNumberFormat="1" applyFont="1" applyFill="1" applyBorder="1" applyAlignment="1" applyProtection="1">
      <alignment horizontal="center" vertical="center"/>
      <protection hidden="1"/>
    </xf>
    <xf numFmtId="0" fontId="82" fillId="11" borderId="42" xfId="0" applyNumberFormat="1" applyFont="1" applyFill="1" applyBorder="1" applyAlignment="1" applyProtection="1">
      <alignment horizontal="center" vertical="center"/>
      <protection hidden="1"/>
    </xf>
    <xf numFmtId="0" fontId="82" fillId="11" borderId="24" xfId="0" applyNumberFormat="1" applyFont="1" applyFill="1" applyBorder="1" applyAlignment="1" applyProtection="1">
      <alignment horizontal="center" vertical="center"/>
      <protection hidden="1"/>
    </xf>
    <xf numFmtId="0" fontId="82" fillId="11" borderId="14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20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4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18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0" xfId="0" applyNumberFormat="1" applyFont="1" applyFill="1" applyBorder="1" applyAlignment="1" applyProtection="1">
      <alignment horizontal="center" vertical="center"/>
      <protection hidden="1"/>
    </xf>
    <xf numFmtId="0" fontId="82" fillId="11" borderId="43" xfId="0" applyNumberFormat="1" applyFont="1" applyFill="1" applyBorder="1" applyAlignment="1" applyProtection="1">
      <alignment horizontal="center" vertical="center"/>
      <protection hidden="1"/>
    </xf>
    <xf numFmtId="0" fontId="82" fillId="11" borderId="56" xfId="0" applyNumberFormat="1" applyFont="1" applyFill="1" applyBorder="1" applyAlignment="1" applyProtection="1">
      <alignment horizontal="center" vertical="center"/>
      <protection locked="0" hidden="1"/>
    </xf>
    <xf numFmtId="0" fontId="83" fillId="12" borderId="0" xfId="0" applyFont="1" applyFill="1" applyBorder="1" applyAlignment="1" applyProtection="1">
      <alignment horizontal="center" vertical="center" wrapText="1"/>
      <protection hidden="1"/>
    </xf>
    <xf numFmtId="0" fontId="82" fillId="11" borderId="21" xfId="0" applyNumberFormat="1" applyFont="1" applyFill="1" applyBorder="1" applyAlignment="1" applyProtection="1">
      <alignment horizontal="center" vertical="center"/>
      <protection hidden="1"/>
    </xf>
    <xf numFmtId="0" fontId="82" fillId="11" borderId="22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13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54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43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44" xfId="0" applyNumberFormat="1" applyFont="1" applyFill="1" applyBorder="1" applyAlignment="1" applyProtection="1">
      <alignment horizontal="center" vertical="center"/>
      <protection hidden="1"/>
    </xf>
    <xf numFmtId="0" fontId="111" fillId="3" borderId="70" xfId="0" applyFont="1" applyFill="1" applyBorder="1" applyAlignment="1">
      <alignment horizontal="center" vertical="center" wrapText="1"/>
    </xf>
    <xf numFmtId="0" fontId="111" fillId="3" borderId="8" xfId="0" applyFont="1" applyFill="1" applyBorder="1" applyAlignment="1">
      <alignment horizontal="center" vertical="center" wrapText="1"/>
    </xf>
    <xf numFmtId="0" fontId="111" fillId="3" borderId="101" xfId="0" applyFont="1" applyFill="1" applyBorder="1" applyAlignment="1">
      <alignment horizontal="center" vertical="center" wrapText="1"/>
    </xf>
    <xf numFmtId="0" fontId="83" fillId="12" borderId="71" xfId="0" applyFont="1" applyFill="1" applyBorder="1" applyAlignment="1" applyProtection="1">
      <alignment horizontal="center" vertical="center" wrapText="1"/>
      <protection hidden="1"/>
    </xf>
    <xf numFmtId="0" fontId="83" fillId="12" borderId="72" xfId="0" applyFont="1" applyFill="1" applyBorder="1" applyAlignment="1" applyProtection="1">
      <alignment horizontal="center" vertical="center" wrapText="1"/>
      <protection hidden="1"/>
    </xf>
    <xf numFmtId="0" fontId="83" fillId="12" borderId="47" xfId="0" applyFont="1" applyFill="1" applyBorder="1" applyAlignment="1" applyProtection="1">
      <alignment horizontal="center" vertical="center" wrapText="1"/>
      <protection hidden="1"/>
    </xf>
    <xf numFmtId="0" fontId="83" fillId="12" borderId="48" xfId="0" applyFont="1" applyFill="1" applyBorder="1" applyAlignment="1" applyProtection="1">
      <alignment horizontal="center" vertical="center" wrapText="1"/>
      <protection hidden="1"/>
    </xf>
    <xf numFmtId="0" fontId="52" fillId="9" borderId="59" xfId="0" applyFont="1" applyFill="1" applyBorder="1" applyAlignment="1" applyProtection="1">
      <alignment horizontal="center" vertical="center" wrapText="1"/>
      <protection locked="0"/>
    </xf>
    <xf numFmtId="0" fontId="52" fillId="9" borderId="14" xfId="0" applyFont="1" applyFill="1" applyBorder="1" applyAlignment="1" applyProtection="1">
      <alignment horizontal="center" vertical="center" wrapText="1"/>
      <protection locked="0"/>
    </xf>
    <xf numFmtId="0" fontId="52" fillId="9" borderId="20" xfId="0" applyFont="1" applyFill="1" applyBorder="1" applyAlignment="1" applyProtection="1">
      <alignment horizontal="center" vertical="center" wrapText="1"/>
      <protection locked="0"/>
    </xf>
    <xf numFmtId="0" fontId="52" fillId="9" borderId="29" xfId="0" applyFont="1" applyFill="1" applyBorder="1" applyAlignment="1" applyProtection="1">
      <alignment horizontal="center" vertical="center" wrapText="1"/>
      <protection locked="0"/>
    </xf>
    <xf numFmtId="0" fontId="52" fillId="9" borderId="4" xfId="0" applyFont="1" applyFill="1" applyBorder="1" applyAlignment="1" applyProtection="1">
      <alignment horizontal="center" vertical="center" wrapText="1"/>
      <protection locked="0"/>
    </xf>
    <xf numFmtId="0" fontId="52" fillId="9" borderId="18" xfId="0" applyFont="1" applyFill="1" applyBorder="1" applyAlignment="1" applyProtection="1">
      <alignment horizontal="center" vertical="center" wrapText="1"/>
      <protection locked="0"/>
    </xf>
    <xf numFmtId="0" fontId="126" fillId="12" borderId="4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14" fillId="9" borderId="0" xfId="0" applyFont="1" applyFill="1" applyBorder="1" applyAlignment="1">
      <alignment horizontal="left" vertical="center" wrapText="1"/>
    </xf>
    <xf numFmtId="0" fontId="128" fillId="11" borderId="0" xfId="0" applyFont="1" applyFill="1" applyBorder="1" applyAlignment="1" applyProtection="1">
      <alignment horizontal="center" vertical="center"/>
      <protection hidden="1"/>
    </xf>
    <xf numFmtId="164" fontId="127" fillId="0" borderId="29" xfId="0" applyNumberFormat="1" applyFont="1" applyBorder="1" applyAlignment="1" applyProtection="1">
      <alignment horizontal="center" vertical="center" wrapText="1"/>
      <protection locked="0"/>
    </xf>
    <xf numFmtId="164" fontId="129" fillId="0" borderId="4" xfId="0" applyNumberFormat="1" applyFont="1" applyBorder="1" applyAlignment="1" applyProtection="1">
      <alignment horizontal="center" vertical="center" wrapText="1"/>
      <protection locked="0"/>
    </xf>
    <xf numFmtId="164" fontId="129" fillId="0" borderId="77" xfId="0" applyNumberFormat="1" applyFont="1" applyBorder="1" applyAlignment="1" applyProtection="1">
      <alignment horizontal="center" vertical="center" wrapText="1"/>
      <protection locked="0"/>
    </xf>
    <xf numFmtId="164" fontId="13" fillId="0" borderId="94" xfId="0" applyNumberFormat="1" applyFont="1" applyBorder="1" applyAlignment="1" applyProtection="1">
      <alignment horizontal="center" vertical="center" wrapText="1"/>
      <protection hidden="1"/>
    </xf>
    <xf numFmtId="164" fontId="13" fillId="0" borderId="95" xfId="0" applyNumberFormat="1" applyFont="1" applyBorder="1" applyAlignment="1" applyProtection="1">
      <alignment horizontal="center" vertical="center" wrapText="1"/>
      <protection hidden="1"/>
    </xf>
    <xf numFmtId="164" fontId="127" fillId="0" borderId="73" xfId="0" applyNumberFormat="1" applyFont="1" applyBorder="1" applyAlignment="1" applyProtection="1">
      <alignment horizontal="center" vertical="center" wrapText="1"/>
      <protection locked="0"/>
    </xf>
    <xf numFmtId="164" fontId="127" fillId="0" borderId="59" xfId="0" applyNumberFormat="1" applyFont="1" applyBorder="1" applyAlignment="1" applyProtection="1">
      <alignment horizontal="center" vertical="center" wrapText="1"/>
      <protection locked="0"/>
    </xf>
    <xf numFmtId="164" fontId="129" fillId="0" borderId="42" xfId="0" applyNumberFormat="1" applyFont="1" applyBorder="1" applyAlignment="1" applyProtection="1">
      <alignment horizontal="center" vertical="center" wrapText="1"/>
      <protection locked="0"/>
    </xf>
    <xf numFmtId="164" fontId="129" fillId="0" borderId="14" xfId="0" applyNumberFormat="1" applyFont="1" applyBorder="1" applyAlignment="1" applyProtection="1">
      <alignment horizontal="center" vertical="center" wrapText="1"/>
      <protection locked="0"/>
    </xf>
    <xf numFmtId="164" fontId="129" fillId="0" borderId="79" xfId="0" applyNumberFormat="1" applyFont="1" applyBorder="1" applyAlignment="1" applyProtection="1">
      <alignment horizontal="center" vertical="center" wrapText="1"/>
      <protection locked="0"/>
    </xf>
    <xf numFmtId="164" fontId="129" fillId="0" borderId="78" xfId="0" applyNumberFormat="1" applyFont="1" applyBorder="1" applyAlignment="1" applyProtection="1">
      <alignment horizontal="center" vertical="center" wrapText="1"/>
      <protection locked="0"/>
    </xf>
    <xf numFmtId="0" fontId="62" fillId="3" borderId="19" xfId="0" applyFont="1" applyFill="1" applyBorder="1" applyAlignment="1">
      <alignment horizontal="center" vertical="center" wrapText="1"/>
    </xf>
    <xf numFmtId="0" fontId="72" fillId="2" borderId="28" xfId="0" applyFont="1" applyFill="1" applyBorder="1" applyAlignment="1" applyProtection="1">
      <alignment horizontal="right" vertical="center" wrapText="1"/>
      <protection hidden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61" fillId="0" borderId="36" xfId="0" applyFont="1" applyBorder="1" applyAlignment="1" applyProtection="1">
      <alignment horizontal="center" vertical="center" wrapText="1"/>
      <protection hidden="1"/>
    </xf>
    <xf numFmtId="164" fontId="20" fillId="0" borderId="103" xfId="0" applyNumberFormat="1" applyFont="1" applyBorder="1" applyAlignment="1" applyProtection="1">
      <alignment horizontal="center" vertical="center" wrapText="1"/>
      <protection hidden="1"/>
    </xf>
    <xf numFmtId="164" fontId="20" fillId="0" borderId="39" xfId="0" applyNumberFormat="1" applyFont="1" applyBorder="1" applyAlignment="1" applyProtection="1">
      <alignment horizontal="center" vertical="center" wrapText="1"/>
      <protection hidden="1"/>
    </xf>
    <xf numFmtId="164" fontId="20" fillId="0" borderId="37" xfId="0" applyNumberFormat="1" applyFont="1" applyBorder="1" applyAlignment="1" applyProtection="1">
      <alignment horizontal="center" vertical="center" wrapText="1"/>
      <protection hidden="1"/>
    </xf>
    <xf numFmtId="164" fontId="20" fillId="0" borderId="88" xfId="0" applyNumberFormat="1" applyFont="1" applyBorder="1" applyAlignment="1" applyProtection="1">
      <alignment horizontal="center" vertical="center" wrapText="1"/>
      <protection hidden="1"/>
    </xf>
    <xf numFmtId="0" fontId="62" fillId="3" borderId="24" xfId="0" applyFont="1" applyFill="1" applyBorder="1" applyAlignment="1">
      <alignment horizontal="center" vertical="center" wrapText="1"/>
    </xf>
    <xf numFmtId="164" fontId="20" fillId="0" borderId="57" xfId="0" applyNumberFormat="1" applyFont="1" applyBorder="1" applyAlignment="1" applyProtection="1">
      <alignment horizontal="center" vertical="center" wrapText="1"/>
      <protection hidden="1"/>
    </xf>
    <xf numFmtId="164" fontId="20" fillId="0" borderId="38" xfId="0" applyNumberFormat="1" applyFont="1" applyBorder="1" applyAlignment="1" applyProtection="1">
      <alignment horizontal="center" vertical="center" wrapText="1"/>
      <protection hidden="1"/>
    </xf>
    <xf numFmtId="165" fontId="20" fillId="4" borderId="39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31" xfId="0" applyFont="1" applyFill="1" applyBorder="1" applyProtection="1">
      <protection hidden="1"/>
    </xf>
    <xf numFmtId="0" fontId="11" fillId="2" borderId="31" xfId="0" applyFont="1" applyFill="1" applyBorder="1" applyProtection="1">
      <protection hidden="1"/>
    </xf>
    <xf numFmtId="0" fontId="130" fillId="0" borderId="0" xfId="0" applyFont="1" applyFill="1" applyAlignment="1" applyProtection="1">
      <alignment vertical="center"/>
      <protection hidden="1"/>
    </xf>
    <xf numFmtId="0" fontId="95" fillId="0" borderId="0" xfId="0" applyFont="1" applyFill="1" applyProtection="1">
      <protection hidden="1"/>
    </xf>
    <xf numFmtId="0" fontId="125" fillId="13" borderId="100" xfId="0" applyFont="1" applyFill="1" applyBorder="1" applyAlignment="1">
      <alignment horizontal="center" vertical="center"/>
    </xf>
    <xf numFmtId="164" fontId="18" fillId="0" borderId="29" xfId="0" applyNumberFormat="1" applyFont="1" applyBorder="1" applyAlignment="1" applyProtection="1">
      <alignment horizontal="center" vertical="center" wrapText="1"/>
      <protection hidden="1"/>
    </xf>
    <xf numFmtId="164" fontId="18" fillId="0" borderId="4" xfId="0" applyNumberFormat="1" applyFont="1" applyBorder="1" applyAlignment="1" applyProtection="1">
      <alignment horizontal="center" vertical="center" wrapText="1"/>
      <protection hidden="1"/>
    </xf>
    <xf numFmtId="164" fontId="18" fillId="0" borderId="77" xfId="0" applyNumberFormat="1" applyFont="1" applyBorder="1" applyAlignment="1" applyProtection="1">
      <alignment horizontal="center" vertical="center" wrapText="1"/>
      <protection hidden="1"/>
    </xf>
    <xf numFmtId="0" fontId="52" fillId="0" borderId="0" xfId="0" applyFont="1" applyAlignment="1">
      <alignment horizontal="center"/>
    </xf>
    <xf numFmtId="0" fontId="111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2" fillId="11" borderId="21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42" xfId="0" applyNumberFormat="1" applyFont="1" applyFill="1" applyBorder="1" applyAlignment="1" applyProtection="1">
      <alignment horizontal="center" vertical="center"/>
      <protection locked="0" hidden="1"/>
    </xf>
    <xf numFmtId="0" fontId="82" fillId="11" borderId="24" xfId="0" applyNumberFormat="1" applyFont="1" applyFill="1" applyBorder="1" applyAlignment="1" applyProtection="1">
      <alignment horizontal="center" vertical="center"/>
      <protection locked="0" hidden="1"/>
    </xf>
    <xf numFmtId="0" fontId="84" fillId="12" borderId="71" xfId="0" applyFont="1" applyFill="1" applyBorder="1" applyAlignment="1" applyProtection="1">
      <alignment horizontal="center" vertical="center" wrapText="1"/>
      <protection hidden="1"/>
    </xf>
    <xf numFmtId="0" fontId="84" fillId="12" borderId="72" xfId="0" applyFont="1" applyFill="1" applyBorder="1" applyAlignment="1" applyProtection="1">
      <alignment horizontal="center" vertical="center" wrapText="1"/>
      <protection hidden="1"/>
    </xf>
    <xf numFmtId="0" fontId="84" fillId="12" borderId="47" xfId="0" applyFont="1" applyFill="1" applyBorder="1" applyAlignment="1" applyProtection="1">
      <alignment horizontal="center" vertical="center" wrapText="1"/>
      <protection hidden="1"/>
    </xf>
    <xf numFmtId="0" fontId="31" fillId="0" borderId="50" xfId="0" applyFont="1" applyFill="1" applyBorder="1" applyAlignment="1" applyProtection="1">
      <alignment horizontal="center" vertical="center" wrapText="1"/>
      <protection hidden="1"/>
    </xf>
    <xf numFmtId="0" fontId="31" fillId="0" borderId="69" xfId="0" applyFont="1" applyFill="1" applyBorder="1" applyAlignment="1" applyProtection="1">
      <alignment horizontal="center" vertical="center" wrapText="1"/>
      <protection hidden="1"/>
    </xf>
    <xf numFmtId="0" fontId="82" fillId="11" borderId="29" xfId="0" applyNumberFormat="1" applyFont="1" applyFill="1" applyBorder="1" applyAlignment="1" applyProtection="1">
      <alignment horizontal="center" vertical="center"/>
      <protection locked="0" hidden="1"/>
    </xf>
    <xf numFmtId="0" fontId="126" fillId="12" borderId="43" xfId="0" applyFont="1" applyFill="1" applyBorder="1" applyAlignment="1" applyProtection="1">
      <alignment horizontal="center" vertical="center" wrapText="1"/>
      <protection hidden="1"/>
    </xf>
    <xf numFmtId="0" fontId="82" fillId="11" borderId="73" xfId="0" applyNumberFormat="1" applyFont="1" applyFill="1" applyBorder="1" applyAlignment="1" applyProtection="1">
      <alignment horizontal="center" vertical="center"/>
      <protection locked="0" hidden="1"/>
    </xf>
    <xf numFmtId="0" fontId="84" fillId="12" borderId="48" xfId="0" applyFont="1" applyFill="1" applyBorder="1" applyAlignment="1" applyProtection="1">
      <alignment horizontal="center" vertical="center" wrapText="1"/>
      <protection hidden="1"/>
    </xf>
    <xf numFmtId="0" fontId="84" fillId="12" borderId="44" xfId="0" applyFont="1" applyFill="1" applyBorder="1" applyAlignment="1" applyProtection="1">
      <alignment horizontal="center" vertical="center" wrapText="1"/>
      <protection hidden="1"/>
    </xf>
    <xf numFmtId="0" fontId="84" fillId="12" borderId="56" xfId="0" applyFont="1" applyFill="1" applyBorder="1" applyAlignment="1" applyProtection="1">
      <alignment horizontal="center" vertical="center" wrapText="1"/>
      <protection hidden="1"/>
    </xf>
    <xf numFmtId="0" fontId="77" fillId="0" borderId="44" xfId="0" applyFont="1" applyFill="1" applyBorder="1" applyAlignment="1">
      <alignment horizontal="center" vertical="center" wrapText="1"/>
    </xf>
    <xf numFmtId="0" fontId="77" fillId="0" borderId="43" xfId="0" applyFont="1" applyFill="1" applyBorder="1" applyAlignment="1">
      <alignment horizontal="center" vertical="center" wrapText="1"/>
    </xf>
    <xf numFmtId="0" fontId="77" fillId="0" borderId="56" xfId="0" applyFont="1" applyFill="1" applyBorder="1" applyAlignment="1">
      <alignment horizontal="center" vertical="center" wrapText="1"/>
    </xf>
    <xf numFmtId="0" fontId="77" fillId="0" borderId="62" xfId="0" applyFont="1" applyFill="1" applyBorder="1" applyAlignment="1">
      <alignment horizontal="center" vertical="center" wrapText="1"/>
    </xf>
    <xf numFmtId="0" fontId="31" fillId="0" borderId="51" xfId="0" applyFont="1" applyFill="1" applyBorder="1" applyAlignment="1" applyProtection="1">
      <alignment horizontal="center" vertical="center" wrapText="1"/>
      <protection hidden="1"/>
    </xf>
    <xf numFmtId="0" fontId="31" fillId="0" borderId="52" xfId="0" applyFont="1" applyFill="1" applyBorder="1" applyAlignment="1" applyProtection="1">
      <alignment horizontal="center" vertical="center" wrapText="1"/>
      <protection hidden="1"/>
    </xf>
    <xf numFmtId="0" fontId="31" fillId="0" borderId="53" xfId="0" applyFont="1" applyFill="1" applyBorder="1" applyAlignment="1" applyProtection="1">
      <alignment horizontal="center" vertical="center" wrapText="1"/>
      <protection hidden="1"/>
    </xf>
    <xf numFmtId="0" fontId="33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5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45" xfId="0" applyFont="1" applyBorder="1" applyAlignment="1">
      <alignment horizontal="center"/>
    </xf>
    <xf numFmtId="0" fontId="52" fillId="0" borderId="32" xfId="0" applyFont="1" applyBorder="1"/>
    <xf numFmtId="0" fontId="52" fillId="0" borderId="63" xfId="0" applyFont="1" applyBorder="1"/>
    <xf numFmtId="0" fontId="0" fillId="0" borderId="26" xfId="0" applyFill="1" applyBorder="1" applyAlignment="1">
      <alignment horizontal="center"/>
    </xf>
    <xf numFmtId="0" fontId="49" fillId="0" borderId="4" xfId="0" applyFont="1" applyFill="1" applyBorder="1" applyAlignment="1">
      <alignment horizontal="center"/>
    </xf>
    <xf numFmtId="9" fontId="79" fillId="0" borderId="0" xfId="0" applyNumberFormat="1" applyFont="1" applyFill="1" applyAlignment="1">
      <alignment horizontal="center"/>
    </xf>
    <xf numFmtId="0" fontId="133" fillId="0" borderId="26" xfId="0" applyFont="1" applyFill="1" applyBorder="1"/>
    <xf numFmtId="0" fontId="133" fillId="0" borderId="25" xfId="0" applyFont="1" applyFill="1" applyBorder="1" applyAlignment="1">
      <alignment horizontal="center"/>
    </xf>
    <xf numFmtId="0" fontId="133" fillId="0" borderId="29" xfId="0" applyFont="1" applyFill="1" applyBorder="1"/>
    <xf numFmtId="0" fontId="38" fillId="0" borderId="0" xfId="0" applyFont="1" applyAlignment="1" applyProtection="1">
      <alignment horizontal="center"/>
      <protection hidden="1"/>
    </xf>
    <xf numFmtId="0" fontId="33" fillId="0" borderId="0" xfId="0" applyFont="1" applyFill="1" applyAlignment="1" applyProtection="1">
      <alignment horizontal="center"/>
      <protection locked="0" hidden="1"/>
    </xf>
    <xf numFmtId="0" fontId="33" fillId="0" borderId="0" xfId="0" applyFont="1" applyAlignment="1" applyProtection="1">
      <alignment horizontal="center"/>
      <protection locked="0" hidden="1"/>
    </xf>
    <xf numFmtId="0" fontId="33" fillId="0" borderId="0" xfId="0" applyFont="1" applyFill="1" applyAlignment="1" applyProtection="1">
      <alignment horizontal="center"/>
      <protection hidden="1"/>
    </xf>
    <xf numFmtId="0" fontId="33" fillId="0" borderId="0" xfId="0" applyFont="1" applyFill="1" applyAlignment="1" applyProtection="1">
      <alignment horizontal="center" wrapText="1"/>
      <protection hidden="1"/>
    </xf>
    <xf numFmtId="0" fontId="31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91" fillId="0" borderId="0" xfId="0" applyFont="1" applyAlignment="1">
      <alignment vertical="center" wrapText="1"/>
    </xf>
    <xf numFmtId="164" fontId="18" fillId="0" borderId="70" xfId="0" applyNumberFormat="1" applyFont="1" applyBorder="1" applyAlignment="1" applyProtection="1">
      <alignment horizontal="center" vertical="center" wrapText="1"/>
      <protection hidden="1"/>
    </xf>
    <xf numFmtId="164" fontId="18" fillId="0" borderId="41" xfId="0" applyNumberFormat="1" applyFont="1" applyBorder="1" applyAlignment="1" applyProtection="1">
      <alignment horizontal="center" vertical="center" wrapText="1"/>
      <protection hidden="1"/>
    </xf>
    <xf numFmtId="164" fontId="18" fillId="0" borderId="8" xfId="0" applyNumberFormat="1" applyFont="1" applyBorder="1" applyAlignment="1" applyProtection="1">
      <alignment horizontal="center" vertical="center" wrapText="1"/>
      <protection hidden="1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04" xfId="0" applyNumberFormat="1" applyFont="1" applyBorder="1" applyAlignment="1" applyProtection="1">
      <alignment horizontal="center" vertical="center" wrapText="1"/>
      <protection hidden="1"/>
    </xf>
    <xf numFmtId="164" fontId="20" fillId="0" borderId="73" xfId="0" applyNumberFormat="1" applyFont="1" applyBorder="1" applyAlignment="1" applyProtection="1">
      <alignment horizontal="center" vertical="center" wrapText="1"/>
      <protection hidden="1"/>
    </xf>
    <xf numFmtId="164" fontId="20" fillId="0" borderId="59" xfId="0" applyNumberFormat="1" applyFont="1" applyBorder="1" applyAlignment="1" applyProtection="1">
      <alignment horizontal="center" vertical="center" wrapText="1"/>
      <protection hidden="1"/>
    </xf>
    <xf numFmtId="164" fontId="20" fillId="0" borderId="5" xfId="0" applyNumberFormat="1" applyFont="1" applyBorder="1" applyAlignment="1" applyProtection="1">
      <alignment horizontal="center" vertical="center" wrapText="1"/>
      <protection hidden="1"/>
    </xf>
    <xf numFmtId="164" fontId="20" fillId="0" borderId="86" xfId="0" applyNumberFormat="1" applyFont="1" applyBorder="1" applyAlignment="1" applyProtection="1">
      <alignment horizontal="center" vertical="center" wrapText="1"/>
      <protection hidden="1"/>
    </xf>
    <xf numFmtId="165" fontId="78" fillId="4" borderId="105" xfId="0" applyNumberFormat="1" applyFont="1" applyFill="1" applyBorder="1" applyAlignment="1" applyProtection="1">
      <alignment horizontal="center" vertical="center" wrapText="1"/>
      <protection hidden="1"/>
    </xf>
    <xf numFmtId="165" fontId="78" fillId="4" borderId="62" xfId="0" applyNumberFormat="1" applyFont="1" applyFill="1" applyBorder="1" applyAlignment="1" applyProtection="1">
      <alignment horizontal="center" vertical="center" wrapText="1"/>
      <protection hidden="1"/>
    </xf>
    <xf numFmtId="165" fontId="78" fillId="4" borderId="33" xfId="0" applyNumberFormat="1" applyFont="1" applyFill="1" applyBorder="1" applyAlignment="1" applyProtection="1">
      <alignment horizontal="center" vertical="center" wrapText="1"/>
      <protection hidden="1"/>
    </xf>
    <xf numFmtId="165" fontId="78" fillId="4" borderId="45" xfId="0" applyNumberFormat="1" applyFont="1" applyFill="1" applyBorder="1" applyAlignment="1" applyProtection="1">
      <alignment horizontal="center" vertical="center" wrapText="1"/>
      <protection hidden="1"/>
    </xf>
    <xf numFmtId="164" fontId="18" fillId="0" borderId="56" xfId="0" applyNumberFormat="1" applyFont="1" applyBorder="1" applyAlignment="1" applyProtection="1">
      <alignment horizontal="center" vertical="center" wrapText="1"/>
      <protection hidden="1"/>
    </xf>
    <xf numFmtId="0" fontId="46" fillId="6" borderId="1" xfId="0" applyFont="1" applyFill="1" applyBorder="1" applyAlignment="1" applyProtection="1">
      <alignment horizontal="right" vertical="center"/>
      <protection hidden="1"/>
    </xf>
    <xf numFmtId="49" fontId="62" fillId="0" borderId="4" xfId="0" applyNumberFormat="1" applyFont="1" applyBorder="1" applyAlignment="1" applyProtection="1">
      <alignment horizontal="left" vertical="center"/>
      <protection locked="0"/>
    </xf>
    <xf numFmtId="0" fontId="69" fillId="6" borderId="1" xfId="0" applyFont="1" applyFill="1" applyBorder="1" applyAlignment="1" applyProtection="1">
      <alignment horizontal="right" vertical="center" wrapText="1"/>
      <protection hidden="1"/>
    </xf>
    <xf numFmtId="0" fontId="135" fillId="6" borderId="2" xfId="1" applyFont="1" applyFill="1" applyBorder="1" applyAlignment="1" applyProtection="1">
      <alignment horizontal="center" vertical="center"/>
      <protection hidden="1"/>
    </xf>
    <xf numFmtId="0" fontId="135" fillId="6" borderId="2" xfId="1" applyFont="1" applyFill="1" applyBorder="1" applyAlignment="1" applyProtection="1">
      <alignment horizontal="center" vertical="center" wrapText="1"/>
      <protection hidden="1"/>
    </xf>
    <xf numFmtId="0" fontId="135" fillId="6" borderId="3" xfId="1" applyFont="1" applyFill="1" applyBorder="1" applyAlignment="1" applyProtection="1">
      <alignment horizontal="center" vertical="center" wrapText="1"/>
      <protection hidden="1"/>
    </xf>
    <xf numFmtId="9" fontId="52" fillId="0" borderId="0" xfId="0" applyNumberFormat="1" applyFont="1" applyAlignment="1" applyProtection="1">
      <alignment horizontal="center" vertical="center"/>
      <protection hidden="1"/>
    </xf>
    <xf numFmtId="164" fontId="11" fillId="0" borderId="71" xfId="0" applyNumberFormat="1" applyFont="1" applyBorder="1" applyAlignment="1" applyProtection="1">
      <alignment horizontal="center" vertical="center" wrapText="1"/>
      <protection hidden="1"/>
    </xf>
    <xf numFmtId="164" fontId="11" fillId="0" borderId="72" xfId="0" applyNumberFormat="1" applyFont="1" applyBorder="1" applyAlignment="1" applyProtection="1">
      <alignment horizontal="center" vertical="center" wrapText="1"/>
      <protection hidden="1"/>
    </xf>
    <xf numFmtId="164" fontId="0" fillId="0" borderId="47" xfId="0" applyNumberFormat="1" applyBorder="1" applyAlignment="1" applyProtection="1">
      <alignment horizontal="center" vertical="center"/>
      <protection hidden="1"/>
    </xf>
    <xf numFmtId="164" fontId="129" fillId="0" borderId="73" xfId="0" applyNumberFormat="1" applyFont="1" applyBorder="1" applyAlignment="1" applyProtection="1">
      <alignment horizontal="center" vertical="center" wrapText="1"/>
      <protection locked="0"/>
    </xf>
    <xf numFmtId="164" fontId="129" fillId="0" borderId="59" xfId="0" applyNumberFormat="1" applyFont="1" applyBorder="1" applyAlignment="1" applyProtection="1">
      <alignment horizontal="center" vertical="center" wrapText="1"/>
      <protection locked="0"/>
    </xf>
    <xf numFmtId="166" fontId="20" fillId="0" borderId="46" xfId="0" applyNumberFormat="1" applyFont="1" applyBorder="1" applyAlignment="1" applyProtection="1">
      <alignment horizontal="center" vertical="center" wrapText="1"/>
      <protection hidden="1"/>
    </xf>
    <xf numFmtId="166" fontId="20" fillId="0" borderId="35" xfId="0" applyNumberFormat="1" applyFont="1" applyBorder="1" applyAlignment="1" applyProtection="1">
      <alignment horizontal="center" vertical="center"/>
      <protection hidden="1"/>
    </xf>
    <xf numFmtId="166" fontId="20" fillId="0" borderId="21" xfId="0" applyNumberFormat="1" applyFont="1" applyBorder="1" applyAlignment="1" applyProtection="1">
      <alignment horizontal="center" vertical="center" wrapText="1"/>
      <protection hidden="1"/>
    </xf>
    <xf numFmtId="166" fontId="20" fillId="0" borderId="24" xfId="0" applyNumberFormat="1" applyFont="1" applyBorder="1" applyAlignment="1" applyProtection="1">
      <alignment horizontal="center" vertical="center"/>
      <protection hidden="1"/>
    </xf>
    <xf numFmtId="166" fontId="17" fillId="2" borderId="46" xfId="0" applyNumberFormat="1" applyFont="1" applyFill="1" applyBorder="1" applyAlignment="1" applyProtection="1">
      <alignment horizontal="center" vertical="center"/>
      <protection hidden="1"/>
    </xf>
    <xf numFmtId="166" fontId="17" fillId="2" borderId="35" xfId="0" applyNumberFormat="1" applyFont="1" applyFill="1" applyBorder="1" applyAlignment="1" applyProtection="1">
      <alignment horizontal="center" vertical="center"/>
      <protection hidden="1"/>
    </xf>
    <xf numFmtId="165" fontId="18" fillId="4" borderId="92" xfId="0" applyNumberFormat="1" applyFont="1" applyFill="1" applyBorder="1" applyAlignment="1" applyProtection="1">
      <alignment horizontal="center" vertical="center" wrapText="1"/>
      <protection hidden="1"/>
    </xf>
    <xf numFmtId="165" fontId="18" fillId="4" borderId="86" xfId="0" applyNumberFormat="1" applyFont="1" applyFill="1" applyBorder="1" applyAlignment="1" applyProtection="1">
      <alignment horizontal="center" vertical="center" wrapText="1"/>
      <protection hidden="1"/>
    </xf>
    <xf numFmtId="165" fontId="18" fillId="4" borderId="34" xfId="0" applyNumberFormat="1" applyFont="1" applyFill="1" applyBorder="1" applyAlignment="1" applyProtection="1">
      <alignment horizontal="center" vertical="center" wrapText="1"/>
      <protection hidden="1"/>
    </xf>
    <xf numFmtId="166" fontId="18" fillId="0" borderId="34" xfId="0" applyNumberFormat="1" applyFont="1" applyBorder="1" applyAlignment="1" applyProtection="1">
      <alignment horizontal="center" vertical="center" wrapText="1"/>
      <protection hidden="1"/>
    </xf>
    <xf numFmtId="164" fontId="18" fillId="0" borderId="42" xfId="0" applyNumberFormat="1" applyFont="1" applyBorder="1" applyAlignment="1" applyProtection="1">
      <alignment horizontal="center" vertical="center" wrapText="1"/>
      <protection hidden="1"/>
    </xf>
    <xf numFmtId="164" fontId="18" fillId="0" borderId="14" xfId="0" applyNumberFormat="1" applyFont="1" applyBorder="1" applyAlignment="1" applyProtection="1">
      <alignment horizontal="center" vertical="center" wrapText="1"/>
      <protection hidden="1"/>
    </xf>
    <xf numFmtId="165" fontId="18" fillId="4" borderId="73" xfId="0" applyNumberFormat="1" applyFont="1" applyFill="1" applyBorder="1" applyAlignment="1" applyProtection="1">
      <alignment horizontal="center" vertical="center" wrapText="1"/>
      <protection hidden="1"/>
    </xf>
    <xf numFmtId="165" fontId="18" fillId="4" borderId="24" xfId="0" applyNumberFormat="1" applyFont="1" applyFill="1" applyBorder="1" applyAlignment="1" applyProtection="1">
      <alignment horizontal="center" vertical="center" wrapText="1"/>
      <protection hidden="1"/>
    </xf>
    <xf numFmtId="165" fontId="18" fillId="4" borderId="18" xfId="0" applyNumberFormat="1" applyFont="1" applyFill="1" applyBorder="1" applyAlignment="1" applyProtection="1">
      <alignment horizontal="center" vertical="center" wrapText="1"/>
      <protection hidden="1"/>
    </xf>
    <xf numFmtId="165" fontId="18" fillId="4" borderId="20" xfId="0" applyNumberFormat="1" applyFont="1" applyFill="1" applyBorder="1" applyAlignment="1" applyProtection="1">
      <alignment horizontal="center" vertical="center" wrapText="1"/>
      <protection hidden="1"/>
    </xf>
    <xf numFmtId="166" fontId="18" fillId="0" borderId="23" xfId="0" applyNumberFormat="1" applyFont="1" applyBorder="1" applyAlignment="1" applyProtection="1">
      <alignment horizontal="center" vertical="center" wrapText="1"/>
      <protection hidden="1"/>
    </xf>
    <xf numFmtId="166" fontId="18" fillId="0" borderId="1" xfId="0" applyNumberFormat="1" applyFont="1" applyBorder="1" applyAlignment="1" applyProtection="1">
      <alignment horizontal="center" vertical="center" wrapText="1"/>
      <protection hidden="1"/>
    </xf>
    <xf numFmtId="166" fontId="18" fillId="0" borderId="57" xfId="0" applyNumberFormat="1" applyFont="1" applyBorder="1" applyAlignment="1" applyProtection="1">
      <alignment horizontal="center" vertical="center" wrapText="1"/>
      <protection hidden="1"/>
    </xf>
    <xf numFmtId="166" fontId="18" fillId="0" borderId="37" xfId="0" applyNumberFormat="1" applyFont="1" applyBorder="1" applyAlignment="1" applyProtection="1">
      <alignment horizontal="center" vertical="center" wrapText="1"/>
      <protection hidden="1"/>
    </xf>
    <xf numFmtId="166" fontId="18" fillId="0" borderId="30" xfId="0" applyNumberFormat="1" applyFont="1" applyBorder="1" applyAlignment="1" applyProtection="1">
      <alignment horizontal="center" vertical="center" wrapText="1"/>
      <protection hidden="1"/>
    </xf>
    <xf numFmtId="166" fontId="18" fillId="0" borderId="3" xfId="0" applyNumberFormat="1" applyFont="1" applyBorder="1" applyAlignment="1" applyProtection="1">
      <alignment horizontal="center" vertical="center" wrapText="1"/>
      <protection hidden="1"/>
    </xf>
    <xf numFmtId="166" fontId="18" fillId="0" borderId="21" xfId="0" applyNumberFormat="1" applyFont="1" applyBorder="1" applyAlignment="1" applyProtection="1">
      <alignment horizontal="center" vertical="center" wrapText="1"/>
      <protection hidden="1"/>
    </xf>
    <xf numFmtId="166" fontId="18" fillId="0" borderId="42" xfId="0" applyNumberFormat="1" applyFont="1" applyBorder="1" applyAlignment="1" applyProtection="1">
      <alignment horizontal="center" vertical="center" wrapText="1"/>
      <protection hidden="1"/>
    </xf>
    <xf numFmtId="0" fontId="58" fillId="0" borderId="17" xfId="0" applyFont="1" applyBorder="1" applyAlignment="1" applyProtection="1">
      <alignment horizontal="center" vertical="center"/>
      <protection hidden="1"/>
    </xf>
    <xf numFmtId="0" fontId="58" fillId="0" borderId="19" xfId="0" applyFont="1" applyBorder="1" applyAlignment="1" applyProtection="1">
      <alignment horizontal="center" vertical="center"/>
      <protection hidden="1"/>
    </xf>
    <xf numFmtId="166" fontId="18" fillId="0" borderId="70" xfId="0" applyNumberFormat="1" applyFont="1" applyBorder="1" applyAlignment="1" applyProtection="1">
      <alignment horizontal="center" vertical="center" wrapText="1"/>
      <protection hidden="1"/>
    </xf>
    <xf numFmtId="166" fontId="18" fillId="0" borderId="41" xfId="0" applyNumberFormat="1" applyFont="1" applyBorder="1" applyAlignment="1" applyProtection="1">
      <alignment horizontal="center" vertical="center" wrapText="1"/>
      <protection hidden="1"/>
    </xf>
    <xf numFmtId="166" fontId="18" fillId="0" borderId="8" xfId="0" applyNumberFormat="1" applyFont="1" applyBorder="1" applyAlignment="1" applyProtection="1">
      <alignment horizontal="center" vertical="center" wrapText="1"/>
      <protection hidden="1"/>
    </xf>
    <xf numFmtId="166" fontId="18" fillId="0" borderId="10" xfId="0" applyNumberFormat="1" applyFont="1" applyBorder="1" applyAlignment="1" applyProtection="1">
      <alignment horizontal="center" vertical="center" wrapText="1"/>
      <protection hidden="1"/>
    </xf>
    <xf numFmtId="166" fontId="18" fillId="0" borderId="104" xfId="0" applyNumberFormat="1" applyFont="1" applyBorder="1" applyAlignment="1" applyProtection="1">
      <alignment horizontal="center" vertical="center" wrapText="1"/>
      <protection hidden="1"/>
    </xf>
    <xf numFmtId="164" fontId="13" fillId="0" borderId="97" xfId="0" applyNumberFormat="1" applyFont="1" applyBorder="1" applyAlignment="1" applyProtection="1">
      <alignment horizontal="center" vertical="center" wrapText="1"/>
      <protection hidden="1"/>
    </xf>
    <xf numFmtId="164" fontId="13" fillId="0" borderId="108" xfId="0" applyNumberFormat="1" applyFont="1" applyBorder="1" applyAlignment="1" applyProtection="1">
      <alignment horizontal="center" vertical="center" wrapText="1"/>
      <protection hidden="1"/>
    </xf>
    <xf numFmtId="164" fontId="13" fillId="0" borderId="87" xfId="0" applyNumberFormat="1" applyFont="1" applyBorder="1" applyAlignment="1" applyProtection="1">
      <alignment horizontal="center" vertical="center" wrapText="1"/>
      <protection hidden="1"/>
    </xf>
    <xf numFmtId="165" fontId="18" fillId="4" borderId="91" xfId="0" applyNumberFormat="1" applyFont="1" applyFill="1" applyBorder="1" applyAlignment="1" applyProtection="1">
      <alignment horizontal="center" vertical="center" wrapText="1"/>
      <protection hidden="1"/>
    </xf>
    <xf numFmtId="14" fontId="0" fillId="0" borderId="4" xfId="0" applyNumberFormat="1" applyBorder="1" applyAlignment="1" applyProtection="1">
      <alignment horizontal="center"/>
      <protection hidden="1"/>
    </xf>
    <xf numFmtId="167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4" fontId="0" fillId="0" borderId="4" xfId="0" applyNumberFormat="1" applyBorder="1" applyAlignment="1" applyProtection="1">
      <alignment horizontal="center" vertical="center"/>
      <protection hidden="1"/>
    </xf>
    <xf numFmtId="0" fontId="0" fillId="0" borderId="4" xfId="0" applyBorder="1" applyAlignment="1">
      <alignment horizontal="center" vertical="center"/>
    </xf>
    <xf numFmtId="0" fontId="63" fillId="0" borderId="4" xfId="0" applyFont="1" applyBorder="1" applyAlignment="1" applyProtection="1">
      <alignment horizontal="center" vertical="center"/>
      <protection hidden="1"/>
    </xf>
    <xf numFmtId="0" fontId="63" fillId="0" borderId="4" xfId="0" applyFont="1" applyBorder="1" applyAlignment="1">
      <alignment horizontal="center" vertical="center"/>
    </xf>
    <xf numFmtId="0" fontId="52" fillId="0" borderId="4" xfId="0" applyFont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52" fillId="0" borderId="36" xfId="0" applyFont="1" applyBorder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142" fillId="0" borderId="4" xfId="0" applyFont="1" applyBorder="1" applyAlignment="1" applyProtection="1">
      <alignment horizontal="center" vertical="center"/>
      <protection hidden="1"/>
    </xf>
    <xf numFmtId="0" fontId="115" fillId="0" borderId="4" xfId="0" applyFont="1" applyBorder="1" applyAlignment="1">
      <alignment horizontal="center" vertical="center"/>
    </xf>
    <xf numFmtId="0" fontId="33" fillId="0" borderId="0" xfId="0" applyFont="1" applyAlignment="1" applyProtection="1">
      <alignment horizontal="center" vertical="center" wrapText="1"/>
      <protection hidden="1"/>
    </xf>
    <xf numFmtId="1" fontId="63" fillId="8" borderId="53" xfId="0" applyNumberFormat="1" applyFont="1" applyFill="1" applyBorder="1" applyAlignment="1" applyProtection="1">
      <alignment horizontal="center" vertical="center" wrapText="1"/>
      <protection locked="0"/>
    </xf>
    <xf numFmtId="1" fontId="63" fillId="8" borderId="56" xfId="0" applyNumberFormat="1" applyFont="1" applyFill="1" applyBorder="1" applyAlignment="1" applyProtection="1">
      <alignment horizontal="center" vertical="center" wrapText="1"/>
      <protection locked="0"/>
    </xf>
    <xf numFmtId="0" fontId="119" fillId="6" borderId="2" xfId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horizontal="left" vertical="center" indent="1"/>
    </xf>
    <xf numFmtId="0" fontId="69" fillId="3" borderId="50" xfId="0" applyFont="1" applyFill="1" applyBorder="1" applyAlignment="1">
      <alignment horizontal="center" vertical="center"/>
    </xf>
    <xf numFmtId="0" fontId="69" fillId="3" borderId="36" xfId="0" applyFont="1" applyFill="1" applyBorder="1" applyAlignment="1">
      <alignment horizontal="center" vertical="center"/>
    </xf>
    <xf numFmtId="0" fontId="69" fillId="3" borderId="69" xfId="0" applyFont="1" applyFill="1" applyBorder="1" applyAlignment="1">
      <alignment horizontal="center" vertical="center" wrapText="1"/>
    </xf>
    <xf numFmtId="0" fontId="81" fillId="12" borderId="36" xfId="0" applyFont="1" applyFill="1" applyBorder="1" applyAlignment="1">
      <alignment horizontal="center" vertical="center"/>
    </xf>
    <xf numFmtId="0" fontId="81" fillId="12" borderId="50" xfId="0" applyFont="1" applyFill="1" applyBorder="1" applyAlignment="1">
      <alignment horizontal="center" vertical="center"/>
    </xf>
    <xf numFmtId="0" fontId="81" fillId="12" borderId="69" xfId="0" applyFont="1" applyFill="1" applyBorder="1" applyAlignment="1">
      <alignment horizontal="center" vertical="center"/>
    </xf>
    <xf numFmtId="0" fontId="58" fillId="9" borderId="5" xfId="0" applyFont="1" applyFill="1" applyBorder="1" applyAlignment="1" applyProtection="1">
      <alignment horizontal="center" vertical="center" wrapText="1"/>
      <protection locked="0"/>
    </xf>
    <xf numFmtId="0" fontId="58" fillId="9" borderId="2" xfId="0" applyFont="1" applyFill="1" applyBorder="1" applyAlignment="1" applyProtection="1">
      <alignment horizontal="center" vertical="center" wrapText="1"/>
      <protection locked="0"/>
    </xf>
    <xf numFmtId="0" fontId="58" fillId="9" borderId="7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6" fillId="0" borderId="10" xfId="0" applyFont="1" applyBorder="1"/>
    <xf numFmtId="0" fontId="144" fillId="6" borderId="2" xfId="1" applyFont="1" applyFill="1" applyBorder="1" applyAlignment="1" applyProtection="1">
      <alignment horizontal="center" vertical="center" wrapText="1"/>
      <protection hidden="1"/>
    </xf>
    <xf numFmtId="0" fontId="144" fillId="6" borderId="3" xfId="1" applyFont="1" applyFill="1" applyBorder="1" applyAlignment="1" applyProtection="1">
      <alignment horizontal="center" vertical="center" wrapText="1"/>
      <protection hidden="1"/>
    </xf>
    <xf numFmtId="0" fontId="143" fillId="6" borderId="2" xfId="0" applyFont="1" applyFill="1" applyBorder="1"/>
    <xf numFmtId="0" fontId="144" fillId="6" borderId="2" xfId="1" applyFont="1" applyFill="1" applyBorder="1" applyAlignment="1" applyProtection="1">
      <alignment horizontal="center" vertical="center"/>
      <protection hidden="1"/>
    </xf>
    <xf numFmtId="0" fontId="143" fillId="6" borderId="2" xfId="1" applyFont="1" applyFill="1" applyBorder="1" applyAlignment="1" applyProtection="1">
      <alignment horizontal="center" vertical="center" wrapText="1"/>
      <protection hidden="1"/>
    </xf>
    <xf numFmtId="0" fontId="143" fillId="6" borderId="2" xfId="1" applyFont="1" applyFill="1" applyBorder="1" applyAlignment="1" applyProtection="1">
      <alignment vertical="center" wrapText="1"/>
      <protection hidden="1"/>
    </xf>
    <xf numFmtId="0" fontId="143" fillId="6" borderId="3" xfId="1" applyFont="1" applyFill="1" applyBorder="1" applyAlignment="1" applyProtection="1">
      <alignment horizontal="center" vertical="center" wrapText="1"/>
      <protection hidden="1"/>
    </xf>
    <xf numFmtId="0" fontId="143" fillId="6" borderId="2" xfId="1" applyFont="1" applyFill="1" applyBorder="1" applyAlignment="1" applyProtection="1">
      <alignment horizontal="center" vertical="center"/>
      <protection hidden="1"/>
    </xf>
    <xf numFmtId="0" fontId="52" fillId="9" borderId="34" xfId="0" applyFont="1" applyFill="1" applyBorder="1" applyAlignment="1" applyProtection="1">
      <alignment horizontal="center" vertical="center" wrapText="1"/>
      <protection locked="0"/>
    </xf>
    <xf numFmtId="0" fontId="52" fillId="9" borderId="35" xfId="0" applyFont="1" applyFill="1" applyBorder="1" applyAlignment="1" applyProtection="1">
      <alignment horizontal="center" vertical="center" wrapText="1"/>
      <protection locked="0"/>
    </xf>
    <xf numFmtId="0" fontId="52" fillId="9" borderId="0" xfId="0" applyFont="1" applyFill="1" applyBorder="1" applyAlignment="1" applyProtection="1">
      <alignment horizontal="center" vertical="center" wrapText="1"/>
      <protection locked="0"/>
    </xf>
    <xf numFmtId="0" fontId="145" fillId="0" borderId="0" xfId="0" applyFont="1"/>
    <xf numFmtId="0" fontId="5" fillId="0" borderId="0" xfId="0" applyFont="1" applyProtection="1">
      <protection locked="0" hidden="1"/>
    </xf>
    <xf numFmtId="49" fontId="63" fillId="8" borderId="5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51" xfId="0" applyNumberFormat="1" applyBorder="1" applyAlignment="1" applyProtection="1">
      <alignment horizontal="center" vertical="center" wrapText="1"/>
      <protection locked="0"/>
    </xf>
    <xf numFmtId="49" fontId="0" fillId="0" borderId="52" xfId="0" applyNumberFormat="1" applyBorder="1" applyAlignment="1" applyProtection="1">
      <alignment horizontal="center" vertical="center" wrapText="1"/>
      <protection locked="0"/>
    </xf>
    <xf numFmtId="49" fontId="63" fillId="8" borderId="5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4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49" fontId="63" fillId="8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3" xfId="0" applyNumberFormat="1" applyBorder="1" applyAlignment="1" applyProtection="1">
      <alignment horizontal="center" vertical="center" wrapText="1"/>
      <protection locked="0"/>
    </xf>
    <xf numFmtId="49" fontId="0" fillId="0" borderId="44" xfId="0" applyNumberFormat="1" applyBorder="1" applyAlignment="1" applyProtection="1">
      <alignment horizontal="center" vertical="center" wrapText="1"/>
      <protection locked="0"/>
    </xf>
    <xf numFmtId="49" fontId="63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62" fillId="8" borderId="0" xfId="0" applyNumberFormat="1" applyFont="1" applyFill="1" applyBorder="1" applyAlignment="1" applyProtection="1">
      <alignment horizontal="center" vertical="center" wrapText="1"/>
      <protection locked="0"/>
    </xf>
    <xf numFmtId="49" fontId="63" fillId="9" borderId="0" xfId="0" applyNumberFormat="1" applyFont="1" applyFill="1" applyBorder="1" applyAlignment="1" applyProtection="1">
      <alignment horizontal="center" vertical="center" wrapText="1"/>
      <protection locked="0"/>
    </xf>
    <xf numFmtId="49" fontId="63" fillId="8" borderId="0" xfId="0" applyNumberFormat="1" applyFont="1" applyFill="1" applyBorder="1" applyAlignment="1" applyProtection="1">
      <alignment horizontal="left" vertical="center" wrapText="1"/>
      <protection locked="0"/>
    </xf>
    <xf numFmtId="49" fontId="114" fillId="9" borderId="73" xfId="0" applyNumberFormat="1" applyFont="1" applyFill="1" applyBorder="1" applyAlignment="1" applyProtection="1">
      <alignment horizontal="left" vertical="center" wrapText="1"/>
      <protection locked="0"/>
    </xf>
    <xf numFmtId="49" fontId="114" fillId="9" borderId="42" xfId="0" applyNumberFormat="1" applyFont="1" applyFill="1" applyBorder="1" applyAlignment="1" applyProtection="1">
      <alignment horizontal="left" vertical="center" wrapText="1"/>
      <protection locked="0"/>
    </xf>
    <xf numFmtId="49" fontId="114" fillId="9" borderId="24" xfId="0" applyNumberFormat="1" applyFont="1" applyFill="1" applyBorder="1" applyAlignment="1" applyProtection="1">
      <alignment horizontal="left" vertical="center" wrapText="1"/>
      <protection locked="0"/>
    </xf>
    <xf numFmtId="49" fontId="68" fillId="9" borderId="0" xfId="1" applyNumberFormat="1" applyFont="1" applyFill="1" applyBorder="1" applyAlignment="1" applyProtection="1">
      <alignment horizontal="center" vertical="center" wrapText="1"/>
      <protection locked="0"/>
    </xf>
    <xf numFmtId="49" fontId="63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54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0" xfId="0" applyNumberFormat="1" applyFont="1" applyFill="1" applyBorder="1" applyAlignment="1" applyProtection="1">
      <alignment vertical="center" wrapText="1"/>
      <protection locked="0"/>
    </xf>
    <xf numFmtId="49" fontId="63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3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33" fillId="9" borderId="68" xfId="0" applyNumberFormat="1" applyFont="1" applyFill="1" applyBorder="1" applyAlignment="1" applyProtection="1">
      <alignment horizontal="left" vertical="center" wrapText="1"/>
      <protection locked="0"/>
    </xf>
    <xf numFmtId="49" fontId="33" fillId="9" borderId="54" xfId="0" applyNumberFormat="1" applyFont="1" applyFill="1" applyBorder="1" applyAlignment="1" applyProtection="1">
      <alignment horizontal="center" vertical="center" wrapText="1"/>
      <protection locked="0"/>
    </xf>
    <xf numFmtId="49" fontId="33" fillId="9" borderId="0" xfId="0" applyNumberFormat="1" applyFont="1" applyFill="1" applyBorder="1" applyAlignment="1" applyProtection="1">
      <alignment horizontal="center" vertical="center" wrapText="1"/>
      <protection locked="0"/>
    </xf>
    <xf numFmtId="49" fontId="33" fillId="9" borderId="55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68" xfId="0" applyNumberFormat="1" applyFont="1" applyFill="1" applyBorder="1" applyAlignment="1" applyProtection="1">
      <alignment horizontal="center" vertical="center" wrapText="1"/>
      <protection locked="0"/>
    </xf>
    <xf numFmtId="49" fontId="33" fillId="9" borderId="67" xfId="0" applyNumberFormat="1" applyFont="1" applyFill="1" applyBorder="1" applyAlignment="1" applyProtection="1">
      <alignment horizontal="left" vertical="center" wrapText="1"/>
      <protection locked="0"/>
    </xf>
    <xf numFmtId="49" fontId="33" fillId="9" borderId="43" xfId="0" applyNumberFormat="1" applyFont="1" applyFill="1" applyBorder="1" applyAlignment="1" applyProtection="1">
      <alignment horizontal="center" vertical="center" wrapText="1"/>
      <protection locked="0"/>
    </xf>
    <xf numFmtId="49" fontId="33" fillId="9" borderId="44" xfId="0" applyNumberFormat="1" applyFont="1" applyFill="1" applyBorder="1" applyAlignment="1" applyProtection="1">
      <alignment horizontal="center" vertical="center" wrapText="1"/>
      <protection locked="0"/>
    </xf>
    <xf numFmtId="49" fontId="33" fillId="9" borderId="56" xfId="0" applyNumberFormat="1" applyFont="1" applyFill="1" applyBorder="1" applyAlignment="1" applyProtection="1">
      <alignment horizontal="center" vertical="center" wrapText="1"/>
      <protection locked="0"/>
    </xf>
    <xf numFmtId="49" fontId="40" fillId="9" borderId="67" xfId="0" applyNumberFormat="1" applyFont="1" applyFill="1" applyBorder="1" applyAlignment="1" applyProtection="1">
      <alignment horizontal="center" vertical="center" wrapText="1"/>
      <protection locked="0"/>
    </xf>
    <xf numFmtId="0" fontId="33" fillId="9" borderId="54" xfId="0" applyNumberFormat="1" applyFont="1" applyFill="1" applyBorder="1" applyAlignment="1" applyProtection="1">
      <alignment horizontal="center" vertical="center" wrapText="1"/>
      <protection locked="0"/>
    </xf>
    <xf numFmtId="0" fontId="33" fillId="9" borderId="55" xfId="0" applyNumberFormat="1" applyFont="1" applyFill="1" applyBorder="1" applyAlignment="1" applyProtection="1">
      <alignment horizontal="center" vertical="center" wrapText="1"/>
      <protection locked="0"/>
    </xf>
    <xf numFmtId="0" fontId="33" fillId="9" borderId="43" xfId="0" applyNumberFormat="1" applyFont="1" applyFill="1" applyBorder="1" applyAlignment="1" applyProtection="1">
      <alignment horizontal="center" vertical="center" wrapText="1"/>
      <protection locked="0"/>
    </xf>
    <xf numFmtId="0" fontId="33" fillId="9" borderId="56" xfId="0" applyNumberFormat="1" applyFont="1" applyFill="1" applyBorder="1" applyAlignment="1" applyProtection="1">
      <alignment horizontal="center" vertical="center" wrapText="1"/>
      <protection locked="0"/>
    </xf>
    <xf numFmtId="0" fontId="52" fillId="9" borderId="29" xfId="0" applyNumberFormat="1" applyFont="1" applyFill="1" applyBorder="1" applyAlignment="1" applyProtection="1">
      <alignment horizontal="center" vertical="center" wrapText="1"/>
      <protection locked="0"/>
    </xf>
    <xf numFmtId="0" fontId="52" fillId="9" borderId="59" xfId="0" applyNumberFormat="1" applyFont="1" applyFill="1" applyBorder="1" applyAlignment="1" applyProtection="1">
      <alignment horizontal="center" vertical="center" wrapText="1"/>
      <protection locked="0"/>
    </xf>
    <xf numFmtId="0" fontId="52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52" fillId="9" borderId="14" xfId="0" applyNumberFormat="1" applyFont="1" applyFill="1" applyBorder="1" applyAlignment="1" applyProtection="1">
      <alignment horizontal="center" vertical="center" wrapText="1"/>
      <protection locked="0"/>
    </xf>
    <xf numFmtId="0" fontId="52" fillId="9" borderId="18" xfId="0" applyNumberFormat="1" applyFont="1" applyFill="1" applyBorder="1" applyAlignment="1" applyProtection="1">
      <alignment horizontal="center" vertical="center" wrapText="1"/>
      <protection locked="0"/>
    </xf>
    <xf numFmtId="0" fontId="52" fillId="9" borderId="20" xfId="0" applyNumberFormat="1" applyFont="1" applyFill="1" applyBorder="1" applyAlignment="1" applyProtection="1">
      <alignment horizontal="center" vertical="center" wrapText="1"/>
      <protection locked="0"/>
    </xf>
    <xf numFmtId="0" fontId="68" fillId="9" borderId="54" xfId="1" applyNumberFormat="1" applyFont="1" applyFill="1" applyBorder="1" applyAlignment="1" applyProtection="1">
      <alignment horizontal="center" vertical="center" wrapText="1"/>
      <protection locked="0"/>
    </xf>
    <xf numFmtId="0" fontId="68" fillId="9" borderId="0" xfId="1" applyNumberFormat="1" applyFont="1" applyFill="1" applyBorder="1" applyAlignment="1" applyProtection="1">
      <alignment horizontal="center" vertical="center" wrapText="1"/>
      <protection locked="0"/>
    </xf>
    <xf numFmtId="0" fontId="68" fillId="9" borderId="55" xfId="1" applyNumberFormat="1" applyFont="1" applyFill="1" applyBorder="1" applyAlignment="1" applyProtection="1">
      <alignment horizontal="center" vertical="center" wrapText="1"/>
      <protection locked="0"/>
    </xf>
    <xf numFmtId="49" fontId="33" fillId="9" borderId="37" xfId="0" applyNumberFormat="1" applyFont="1" applyFill="1" applyBorder="1" applyAlignment="1" applyProtection="1">
      <alignment horizontal="left" vertical="center" wrapText="1"/>
      <protection locked="0"/>
    </xf>
    <xf numFmtId="49" fontId="33" fillId="9" borderId="38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54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6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86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52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53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68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67" xfId="0" applyNumberFormat="1" applyFont="1" applyFill="1" applyBorder="1" applyAlignment="1" applyProtection="1">
      <alignment horizontal="center" vertical="center" wrapText="1"/>
      <protection locked="0"/>
    </xf>
    <xf numFmtId="49" fontId="63" fillId="9" borderId="0" xfId="0" applyNumberFormat="1" applyFont="1" applyFill="1" applyBorder="1" applyAlignment="1" applyProtection="1">
      <alignment horizontal="left" vertical="top" wrapText="1"/>
      <protection locked="0"/>
    </xf>
    <xf numFmtId="49" fontId="33" fillId="9" borderId="39" xfId="0" applyNumberFormat="1" applyFont="1" applyFill="1" applyBorder="1" applyAlignment="1" applyProtection="1">
      <alignment horizontal="left" vertical="center" wrapText="1"/>
      <protection locked="0"/>
    </xf>
    <xf numFmtId="49" fontId="63" fillId="9" borderId="4" xfId="0" applyNumberFormat="1" applyFont="1" applyFill="1" applyBorder="1" applyAlignment="1" applyProtection="1">
      <alignment horizontal="center" vertical="center" wrapText="1"/>
      <protection locked="0"/>
    </xf>
    <xf numFmtId="49" fontId="63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63" fillId="8" borderId="21" xfId="0" applyNumberFormat="1" applyFont="1" applyFill="1" applyBorder="1" applyAlignment="1" applyProtection="1">
      <alignment horizontal="center" vertical="center" wrapText="1"/>
      <protection locked="0"/>
    </xf>
    <xf numFmtId="49" fontId="63" fillId="8" borderId="42" xfId="0" applyNumberFormat="1" applyFont="1" applyFill="1" applyBorder="1" applyAlignment="1" applyProtection="1">
      <alignment horizontal="center" vertical="center" wrapText="1"/>
      <protection locked="0"/>
    </xf>
    <xf numFmtId="0" fontId="63" fillId="9" borderId="14" xfId="0" applyNumberFormat="1" applyFont="1" applyFill="1" applyBorder="1" applyAlignment="1" applyProtection="1">
      <alignment horizontal="center" vertical="center" wrapText="1"/>
      <protection locked="0"/>
    </xf>
    <xf numFmtId="0" fontId="63" fillId="9" borderId="13" xfId="0" applyNumberFormat="1" applyFont="1" applyFill="1" applyBorder="1" applyAlignment="1" applyProtection="1">
      <alignment horizontal="center" vertical="center" wrapText="1"/>
      <protection locked="0"/>
    </xf>
    <xf numFmtId="49" fontId="63" fillId="8" borderId="70" xfId="0" applyNumberFormat="1" applyFont="1" applyFill="1" applyBorder="1" applyAlignment="1" applyProtection="1">
      <alignment horizontal="center" vertical="center" wrapText="1"/>
      <protection locked="0"/>
    </xf>
    <xf numFmtId="49" fontId="63" fillId="9" borderId="9" xfId="0" applyNumberFormat="1" applyFont="1" applyFill="1" applyBorder="1" applyAlignment="1" applyProtection="1">
      <alignment horizontal="center" vertical="center" wrapText="1"/>
      <protection locked="0"/>
    </xf>
    <xf numFmtId="0" fontId="63" fillId="9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3" xfId="0" applyBorder="1" applyAlignment="1">
      <alignment horizontal="left"/>
    </xf>
    <xf numFmtId="49" fontId="63" fillId="0" borderId="73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63" fillId="9" borderId="54" xfId="0" applyNumberFormat="1" applyFont="1" applyFill="1" applyBorder="1" applyAlignment="1" applyProtection="1">
      <alignment horizontal="left" vertical="center" wrapText="1"/>
      <protection locked="0"/>
    </xf>
    <xf numFmtId="49" fontId="63" fillId="8" borderId="43" xfId="0" applyNumberFormat="1" applyFont="1" applyFill="1" applyBorder="1" applyAlignment="1" applyProtection="1">
      <alignment horizontal="left" vertical="center" wrapText="1"/>
      <protection locked="0"/>
    </xf>
    <xf numFmtId="49" fontId="63" fillId="8" borderId="44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62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63" xfId="0" applyNumberFormat="1" applyFont="1" applyFill="1" applyBorder="1" applyAlignment="1" applyProtection="1">
      <alignment horizontal="center" vertical="center" wrapText="1"/>
      <protection locked="0"/>
    </xf>
    <xf numFmtId="49" fontId="63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79" fillId="0" borderId="55" xfId="1" applyNumberFormat="1" applyFont="1" applyFill="1" applyBorder="1" applyAlignment="1" applyProtection="1">
      <alignment horizontal="center" vertical="center" wrapText="1"/>
      <protection locked="0"/>
    </xf>
    <xf numFmtId="49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9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4" xfId="0" applyNumberFormat="1" applyFont="1" applyFill="1" applyBorder="1" applyAlignment="1" applyProtection="1">
      <alignment horizontal="left" vertical="center" wrapText="1"/>
      <protection locked="0"/>
    </xf>
    <xf numFmtId="49" fontId="79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114" fillId="9" borderId="6" xfId="0" applyNumberFormat="1" applyFont="1" applyFill="1" applyBorder="1" applyAlignment="1" applyProtection="1">
      <alignment horizontal="left" vertical="center" wrapText="1"/>
      <protection locked="0"/>
    </xf>
    <xf numFmtId="49" fontId="114" fillId="9" borderId="15" xfId="0" applyNumberFormat="1" applyFont="1" applyFill="1" applyBorder="1" applyAlignment="1" applyProtection="1">
      <alignment horizontal="left" vertical="center" wrapText="1"/>
      <protection locked="0"/>
    </xf>
    <xf numFmtId="49" fontId="79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33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5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68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54" xfId="0" applyNumberFormat="1" applyFont="1" applyBorder="1" applyAlignment="1" applyProtection="1">
      <alignment horizontal="left" vertical="center" wrapText="1"/>
      <protection locked="0"/>
    </xf>
    <xf numFmtId="49" fontId="63" fillId="0" borderId="0" xfId="0" applyNumberFormat="1" applyFont="1" applyBorder="1" applyAlignment="1" applyProtection="1">
      <alignment horizontal="left" vertical="center" wrapText="1"/>
      <protection locked="0"/>
    </xf>
    <xf numFmtId="49" fontId="63" fillId="0" borderId="55" xfId="0" applyNumberFormat="1" applyFont="1" applyBorder="1" applyAlignment="1" applyProtection="1">
      <alignment horizontal="center" vertical="center" wrapText="1"/>
      <protection locked="0"/>
    </xf>
    <xf numFmtId="49" fontId="63" fillId="0" borderId="54" xfId="0" applyNumberFormat="1" applyFont="1" applyBorder="1" applyAlignment="1" applyProtection="1">
      <alignment horizontal="center" vertical="center" wrapText="1"/>
      <protection locked="0"/>
    </xf>
    <xf numFmtId="49" fontId="63" fillId="0" borderId="43" xfId="0" applyNumberFormat="1" applyFont="1" applyBorder="1" applyAlignment="1" applyProtection="1">
      <alignment horizontal="left" vertical="center" wrapText="1"/>
      <protection locked="0"/>
    </xf>
    <xf numFmtId="49" fontId="63" fillId="0" borderId="44" xfId="0" applyNumberFormat="1" applyFont="1" applyBorder="1" applyAlignment="1" applyProtection="1">
      <alignment horizontal="left" vertical="center" wrapText="1"/>
      <protection locked="0"/>
    </xf>
    <xf numFmtId="49" fontId="63" fillId="0" borderId="56" xfId="0" applyNumberFormat="1" applyFont="1" applyBorder="1" applyAlignment="1" applyProtection="1">
      <alignment horizontal="center" vertical="center" wrapText="1"/>
      <protection locked="0"/>
    </xf>
    <xf numFmtId="49" fontId="63" fillId="0" borderId="43" xfId="0" applyNumberFormat="1" applyFont="1" applyBorder="1" applyAlignment="1" applyProtection="1">
      <alignment horizontal="center" vertical="center" wrapText="1"/>
      <protection locked="0"/>
    </xf>
    <xf numFmtId="49" fontId="40" fillId="0" borderId="54" xfId="0" applyNumberFormat="1" applyFont="1" applyBorder="1" applyAlignment="1" applyProtection="1">
      <alignment horizontal="center" vertical="center" wrapText="1"/>
      <protection locked="0"/>
    </xf>
    <xf numFmtId="49" fontId="63" fillId="0" borderId="0" xfId="0" applyNumberFormat="1" applyFont="1" applyBorder="1" applyAlignment="1" applyProtection="1">
      <alignment horizontal="center" vertical="center" wrapText="1"/>
      <protection locked="0"/>
    </xf>
    <xf numFmtId="49" fontId="40" fillId="0" borderId="43" xfId="0" applyNumberFormat="1" applyFont="1" applyBorder="1" applyAlignment="1" applyProtection="1">
      <alignment horizontal="center" vertical="center" wrapText="1"/>
      <protection locked="0"/>
    </xf>
    <xf numFmtId="49" fontId="63" fillId="0" borderId="44" xfId="0" applyNumberFormat="1" applyFont="1" applyBorder="1" applyAlignment="1" applyProtection="1">
      <alignment horizontal="center" vertical="center" wrapText="1"/>
      <protection locked="0"/>
    </xf>
    <xf numFmtId="49" fontId="63" fillId="0" borderId="43" xfId="0" applyNumberFormat="1" applyFont="1" applyFill="1" applyBorder="1" applyAlignment="1" applyProtection="1">
      <alignment horizontal="left" vertical="center" wrapText="1"/>
      <protection locked="0"/>
    </xf>
    <xf numFmtId="49" fontId="63" fillId="0" borderId="44" xfId="0" applyNumberFormat="1" applyFont="1" applyFill="1" applyBorder="1" applyAlignment="1" applyProtection="1">
      <alignment horizontal="left" vertical="center" wrapText="1"/>
      <protection locked="0"/>
    </xf>
    <xf numFmtId="0" fontId="33" fillId="9" borderId="68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Alignment="1">
      <alignment horizontal="center"/>
    </xf>
    <xf numFmtId="0" fontId="4" fillId="0" borderId="1" xfId="0" applyFont="1" applyBorder="1"/>
    <xf numFmtId="0" fontId="0" fillId="2" borderId="29" xfId="0" applyFill="1" applyBorder="1" applyAlignment="1">
      <alignment horizontal="left"/>
    </xf>
    <xf numFmtId="0" fontId="85" fillId="12" borderId="71" xfId="0" applyFont="1" applyFill="1" applyBorder="1" applyAlignment="1">
      <alignment horizontal="center" vertical="center" wrapText="1"/>
    </xf>
    <xf numFmtId="0" fontId="85" fillId="12" borderId="4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85" fillId="12" borderId="54" xfId="0" applyFont="1" applyFill="1" applyBorder="1" applyAlignment="1">
      <alignment horizontal="center" vertical="center"/>
    </xf>
    <xf numFmtId="0" fontId="85" fillId="12" borderId="55" xfId="0" applyFont="1" applyFill="1" applyBorder="1" applyAlignment="1">
      <alignment horizontal="center" vertical="center"/>
    </xf>
    <xf numFmtId="0" fontId="33" fillId="9" borderId="67" xfId="0" applyNumberFormat="1" applyFont="1" applyFill="1" applyBorder="1" applyAlignment="1" applyProtection="1">
      <alignment horizontal="center" vertical="center" wrapText="1"/>
      <protection locked="0"/>
    </xf>
    <xf numFmtId="0" fontId="63" fillId="11" borderId="54" xfId="0" applyNumberFormat="1" applyFont="1" applyFill="1" applyBorder="1" applyAlignment="1">
      <alignment horizontal="left"/>
    </xf>
    <xf numFmtId="0" fontId="63" fillId="11" borderId="43" xfId="0" applyNumberFormat="1" applyFont="1" applyFill="1" applyBorder="1" applyAlignment="1">
      <alignment horizontal="left"/>
    </xf>
    <xf numFmtId="0" fontId="63" fillId="11" borderId="55" xfId="0" applyNumberFormat="1" applyFont="1" applyFill="1" applyBorder="1" applyAlignment="1">
      <alignment horizontal="left"/>
    </xf>
    <xf numFmtId="0" fontId="63" fillId="11" borderId="56" xfId="0" applyNumberFormat="1" applyFont="1" applyFill="1" applyBorder="1" applyAlignment="1">
      <alignment horizontal="left"/>
    </xf>
    <xf numFmtId="166" fontId="18" fillId="0" borderId="86" xfId="0" quotePrefix="1" applyNumberFormat="1" applyFont="1" applyBorder="1" applyAlignment="1" applyProtection="1">
      <alignment horizontal="center" vertical="center" wrapText="1"/>
      <protection hidden="1"/>
    </xf>
    <xf numFmtId="0" fontId="81" fillId="12" borderId="71" xfId="0" applyFont="1" applyFill="1" applyBorder="1" applyAlignment="1">
      <alignment horizontal="center" vertical="center"/>
    </xf>
    <xf numFmtId="0" fontId="81" fillId="12" borderId="72" xfId="0" applyFont="1" applyFill="1" applyBorder="1" applyAlignment="1">
      <alignment horizontal="center" vertical="center"/>
    </xf>
    <xf numFmtId="0" fontId="81" fillId="12" borderId="47" xfId="0" applyFont="1" applyFill="1" applyBorder="1" applyAlignment="1">
      <alignment horizontal="center" vertical="center"/>
    </xf>
    <xf numFmtId="0" fontId="146" fillId="11" borderId="0" xfId="0" applyFont="1" applyFill="1" applyBorder="1" applyAlignment="1">
      <alignment horizontal="center"/>
    </xf>
    <xf numFmtId="0" fontId="146" fillId="11" borderId="0" xfId="0" applyNumberFormat="1" applyFont="1" applyFill="1" applyBorder="1" applyAlignment="1">
      <alignment horizontal="center"/>
    </xf>
    <xf numFmtId="0" fontId="146" fillId="11" borderId="21" xfId="0" applyFont="1" applyFill="1" applyBorder="1" applyAlignment="1">
      <alignment horizontal="center"/>
    </xf>
    <xf numFmtId="0" fontId="146" fillId="11" borderId="12" xfId="0" applyFont="1" applyFill="1" applyBorder="1" applyAlignment="1">
      <alignment horizontal="center"/>
    </xf>
    <xf numFmtId="0" fontId="146" fillId="11" borderId="42" xfId="0" applyFont="1" applyFill="1" applyBorder="1" applyAlignment="1">
      <alignment horizontal="center"/>
    </xf>
    <xf numFmtId="0" fontId="146" fillId="11" borderId="2" xfId="0" applyFont="1" applyFill="1" applyBorder="1" applyAlignment="1">
      <alignment horizontal="center"/>
    </xf>
    <xf numFmtId="0" fontId="146" fillId="11" borderId="24" xfId="0" applyFont="1" applyFill="1" applyBorder="1" applyAlignment="1">
      <alignment horizontal="center"/>
    </xf>
    <xf numFmtId="0" fontId="146" fillId="11" borderId="16" xfId="0" applyFont="1" applyFill="1" applyBorder="1" applyAlignment="1">
      <alignment horizontal="center"/>
    </xf>
    <xf numFmtId="0" fontId="147" fillId="11" borderId="73" xfId="0" applyFont="1" applyFill="1" applyBorder="1" applyAlignment="1" applyProtection="1">
      <alignment horizontal="center" vertical="center" wrapText="1"/>
      <protection hidden="1"/>
    </xf>
    <xf numFmtId="0" fontId="147" fillId="11" borderId="29" xfId="0" applyFont="1" applyFill="1" applyBorder="1" applyAlignment="1" applyProtection="1">
      <alignment horizontal="center" vertical="center" wrapText="1"/>
      <protection hidden="1"/>
    </xf>
    <xf numFmtId="0" fontId="147" fillId="11" borderId="59" xfId="0" applyFont="1" applyFill="1" applyBorder="1" applyAlignment="1" applyProtection="1">
      <alignment horizontal="center" vertical="center" wrapText="1"/>
      <protection hidden="1"/>
    </xf>
    <xf numFmtId="0" fontId="147" fillId="11" borderId="55" xfId="0" applyFont="1" applyFill="1" applyBorder="1" applyAlignment="1" applyProtection="1">
      <alignment horizontal="center" vertical="center" wrapText="1"/>
      <protection hidden="1"/>
    </xf>
    <xf numFmtId="0" fontId="147" fillId="11" borderId="54" xfId="0" applyFont="1" applyFill="1" applyBorder="1" applyAlignment="1" applyProtection="1">
      <alignment horizontal="center" vertical="center" wrapText="1"/>
      <protection hidden="1"/>
    </xf>
    <xf numFmtId="0" fontId="147" fillId="11" borderId="0" xfId="0" applyFont="1" applyFill="1" applyBorder="1" applyAlignment="1" applyProtection="1">
      <alignment horizontal="center" vertical="center" wrapText="1"/>
      <protection hidden="1"/>
    </xf>
    <xf numFmtId="0" fontId="147" fillId="11" borderId="42" xfId="0" applyFont="1" applyFill="1" applyBorder="1" applyAlignment="1" applyProtection="1">
      <alignment horizontal="center" vertical="center" wrapText="1"/>
      <protection hidden="1"/>
    </xf>
    <xf numFmtId="0" fontId="147" fillId="11" borderId="4" xfId="0" applyFont="1" applyFill="1" applyBorder="1" applyAlignment="1" applyProtection="1">
      <alignment horizontal="center" vertical="center" wrapText="1"/>
      <protection hidden="1"/>
    </xf>
    <xf numFmtId="0" fontId="147" fillId="11" borderId="14" xfId="0" applyFont="1" applyFill="1" applyBorder="1" applyAlignment="1" applyProtection="1">
      <alignment horizontal="center" vertical="center" wrapText="1"/>
      <protection hidden="1"/>
    </xf>
    <xf numFmtId="0" fontId="147" fillId="11" borderId="24" xfId="0" applyFont="1" applyFill="1" applyBorder="1" applyAlignment="1" applyProtection="1">
      <alignment horizontal="center" vertical="center" wrapText="1"/>
      <protection hidden="1"/>
    </xf>
    <xf numFmtId="0" fontId="147" fillId="11" borderId="18" xfId="0" applyFont="1" applyFill="1" applyBorder="1" applyAlignment="1" applyProtection="1">
      <alignment horizontal="center" vertical="center" wrapText="1"/>
      <protection hidden="1"/>
    </xf>
    <xf numFmtId="0" fontId="147" fillId="11" borderId="20" xfId="0" applyFont="1" applyFill="1" applyBorder="1" applyAlignment="1" applyProtection="1">
      <alignment horizontal="center" vertical="center" wrapText="1"/>
      <protection hidden="1"/>
    </xf>
    <xf numFmtId="0" fontId="147" fillId="11" borderId="56" xfId="0" applyFont="1" applyFill="1" applyBorder="1" applyAlignment="1" applyProtection="1">
      <alignment horizontal="center" vertical="center" wrapText="1"/>
      <protection hidden="1"/>
    </xf>
    <xf numFmtId="0" fontId="147" fillId="11" borderId="43" xfId="0" applyFont="1" applyFill="1" applyBorder="1" applyAlignment="1" applyProtection="1">
      <alignment horizontal="center" vertical="center" wrapText="1"/>
      <protection hidden="1"/>
    </xf>
    <xf numFmtId="0" fontId="147" fillId="11" borderId="44" xfId="0" applyFont="1" applyFill="1" applyBorder="1" applyAlignment="1" applyProtection="1">
      <alignment horizontal="center" vertical="center" wrapText="1"/>
      <protection hidden="1"/>
    </xf>
    <xf numFmtId="0" fontId="86" fillId="11" borderId="26" xfId="0" applyFont="1" applyFill="1" applyBorder="1" applyAlignment="1" applyProtection="1">
      <alignment horizontal="center" vertical="center" wrapText="1"/>
      <protection hidden="1"/>
    </xf>
    <xf numFmtId="0" fontId="148" fillId="11" borderId="26" xfId="0" applyFont="1" applyFill="1" applyBorder="1" applyAlignment="1" applyProtection="1">
      <alignment horizontal="center" vertical="center" wrapText="1"/>
      <protection hidden="1"/>
    </xf>
    <xf numFmtId="0" fontId="148" fillId="11" borderId="29" xfId="0" applyFont="1" applyFill="1" applyBorder="1" applyAlignment="1" applyProtection="1">
      <alignment horizontal="center" vertical="center" wrapText="1"/>
      <protection hidden="1"/>
    </xf>
    <xf numFmtId="0" fontId="148" fillId="11" borderId="25" xfId="0" applyFont="1" applyFill="1" applyBorder="1" applyAlignment="1" applyProtection="1">
      <alignment horizontal="center" vertical="center" wrapText="1"/>
      <protection hidden="1"/>
    </xf>
    <xf numFmtId="0" fontId="86" fillId="11" borderId="3" xfId="0" applyFont="1" applyFill="1" applyBorder="1" applyAlignment="1" applyProtection="1">
      <alignment horizontal="center" vertical="center" wrapText="1"/>
      <protection hidden="1"/>
    </xf>
    <xf numFmtId="0" fontId="148" fillId="11" borderId="3" xfId="0" applyFont="1" applyFill="1" applyBorder="1" applyAlignment="1" applyProtection="1">
      <alignment horizontal="center" vertical="center" wrapText="1"/>
      <protection hidden="1"/>
    </xf>
    <xf numFmtId="0" fontId="148" fillId="11" borderId="4" xfId="0" applyFont="1" applyFill="1" applyBorder="1" applyAlignment="1" applyProtection="1">
      <alignment horizontal="center" vertical="center" wrapText="1"/>
      <protection hidden="1"/>
    </xf>
    <xf numFmtId="0" fontId="148" fillId="11" borderId="1" xfId="0" applyFont="1" applyFill="1" applyBorder="1" applyAlignment="1" applyProtection="1">
      <alignment horizontal="center" vertical="center" wrapText="1"/>
      <protection hidden="1"/>
    </xf>
    <xf numFmtId="0" fontId="86" fillId="11" borderId="8" xfId="0" applyFont="1" applyFill="1" applyBorder="1" applyAlignment="1" applyProtection="1">
      <alignment horizontal="center" vertical="center" wrapText="1"/>
      <protection hidden="1"/>
    </xf>
    <xf numFmtId="0" fontId="148" fillId="11" borderId="8" xfId="0" applyFont="1" applyFill="1" applyBorder="1" applyAlignment="1" applyProtection="1">
      <alignment horizontal="center" vertical="center" wrapText="1"/>
      <protection hidden="1"/>
    </xf>
    <xf numFmtId="0" fontId="148" fillId="11" borderId="9" xfId="0" applyFont="1" applyFill="1" applyBorder="1" applyAlignment="1" applyProtection="1">
      <alignment horizontal="center" vertical="center" wrapText="1"/>
      <protection hidden="1"/>
    </xf>
    <xf numFmtId="0" fontId="148" fillId="11" borderId="10" xfId="0" applyFont="1" applyFill="1" applyBorder="1" applyAlignment="1" applyProtection="1">
      <alignment horizontal="center" vertical="center" wrapText="1"/>
      <protection hidden="1"/>
    </xf>
    <xf numFmtId="0" fontId="65" fillId="0" borderId="0" xfId="0" applyFont="1" applyBorder="1" applyAlignment="1" applyProtection="1">
      <alignment vertical="top"/>
      <protection hidden="1"/>
    </xf>
    <xf numFmtId="0" fontId="64" fillId="0" borderId="0" xfId="0" applyFont="1" applyBorder="1" applyAlignment="1" applyProtection="1">
      <alignment vertical="center"/>
      <protection hidden="1"/>
    </xf>
    <xf numFmtId="0" fontId="51" fillId="0" borderId="45" xfId="0" applyFont="1" applyBorder="1" applyAlignment="1" applyProtection="1">
      <alignment horizontal="center" vertical="center"/>
      <protection hidden="1"/>
    </xf>
    <xf numFmtId="0" fontId="72" fillId="0" borderId="45" xfId="0" applyFont="1" applyBorder="1" applyAlignment="1" applyProtection="1">
      <alignment horizontal="center" vertical="center"/>
      <protection hidden="1"/>
    </xf>
    <xf numFmtId="0" fontId="62" fillId="0" borderId="32" xfId="0" applyFont="1" applyBorder="1" applyAlignment="1" applyProtection="1">
      <alignment horizontal="center" vertical="center"/>
      <protection hidden="1"/>
    </xf>
    <xf numFmtId="0" fontId="62" fillId="0" borderId="63" xfId="0" applyFont="1" applyBorder="1" applyAlignment="1" applyProtection="1">
      <alignment horizontal="left" vertical="center"/>
      <protection hidden="1"/>
    </xf>
    <xf numFmtId="0" fontId="43" fillId="12" borderId="55" xfId="0" applyFont="1" applyFill="1" applyBorder="1" applyAlignment="1" applyProtection="1">
      <alignment horizontal="center" vertical="center" wrapText="1"/>
      <protection hidden="1"/>
    </xf>
    <xf numFmtId="0" fontId="43" fillId="12" borderId="55" xfId="0" applyNumberFormat="1" applyFont="1" applyFill="1" applyBorder="1" applyAlignment="1" applyProtection="1">
      <alignment horizontal="center" vertical="center" wrapText="1"/>
      <protection hidden="1"/>
    </xf>
    <xf numFmtId="0" fontId="43" fillId="12" borderId="56" xfId="0" applyFont="1" applyFill="1" applyBorder="1" applyAlignment="1" applyProtection="1">
      <alignment horizontal="center" vertical="center" wrapText="1"/>
      <protection hidden="1"/>
    </xf>
    <xf numFmtId="0" fontId="43" fillId="12" borderId="0" xfId="0" applyNumberFormat="1" applyFont="1" applyFill="1" applyBorder="1" applyAlignment="1" applyProtection="1">
      <alignment horizontal="center" vertical="center"/>
      <protection hidden="1"/>
    </xf>
    <xf numFmtId="0" fontId="43" fillId="12" borderId="44" xfId="0" applyNumberFormat="1" applyFont="1" applyFill="1" applyBorder="1" applyAlignment="1" applyProtection="1">
      <alignment horizontal="center" vertical="center"/>
      <protection hidden="1"/>
    </xf>
    <xf numFmtId="0" fontId="149" fillId="12" borderId="56" xfId="0" applyFont="1" applyFill="1" applyBorder="1" applyAlignment="1" applyProtection="1">
      <alignment horizontal="center" vertical="center" wrapText="1"/>
      <protection hidden="1"/>
    </xf>
    <xf numFmtId="0" fontId="151" fillId="12" borderId="69" xfId="0" applyFont="1" applyFill="1" applyBorder="1" applyAlignment="1">
      <alignment horizontal="center" vertical="center" wrapText="1"/>
    </xf>
    <xf numFmtId="0" fontId="149" fillId="12" borderId="44" xfId="0" applyFont="1" applyFill="1" applyBorder="1" applyAlignment="1" applyProtection="1">
      <alignment horizontal="center" vertical="center" wrapText="1"/>
      <protection hidden="1"/>
    </xf>
    <xf numFmtId="0" fontId="43" fillId="12" borderId="0" xfId="0" applyFont="1" applyFill="1" applyBorder="1" applyAlignment="1" applyProtection="1">
      <alignment horizontal="center" vertical="center"/>
      <protection hidden="1"/>
    </xf>
    <xf numFmtId="0" fontId="149" fillId="12" borderId="69" xfId="0" applyFont="1" applyFill="1" applyBorder="1" applyAlignment="1">
      <alignment horizontal="center" vertical="center" wrapText="1"/>
    </xf>
    <xf numFmtId="0" fontId="149" fillId="12" borderId="50" xfId="0" applyFont="1" applyFill="1" applyBorder="1" applyAlignment="1">
      <alignment horizontal="center" vertical="center" wrapText="1"/>
    </xf>
    <xf numFmtId="0" fontId="43" fillId="12" borderId="54" xfId="0" applyFont="1" applyFill="1" applyBorder="1" applyAlignment="1" applyProtection="1">
      <alignment horizontal="center" vertical="center" wrapText="1"/>
      <protection hidden="1"/>
    </xf>
    <xf numFmtId="0" fontId="43" fillId="12" borderId="54" xfId="0" applyNumberFormat="1" applyFont="1" applyFill="1" applyBorder="1" applyAlignment="1" applyProtection="1">
      <alignment horizontal="center" vertical="center" wrapText="1"/>
      <protection hidden="1"/>
    </xf>
    <xf numFmtId="0" fontId="43" fillId="12" borderId="43" xfId="0" applyFont="1" applyFill="1" applyBorder="1" applyAlignment="1" applyProtection="1">
      <alignment horizontal="center" vertical="center" wrapText="1"/>
      <protection hidden="1"/>
    </xf>
    <xf numFmtId="0" fontId="149" fillId="12" borderId="0" xfId="0" applyFont="1" applyFill="1" applyBorder="1" applyAlignment="1" applyProtection="1">
      <alignment horizontal="center" vertical="center" wrapText="1"/>
      <protection hidden="1"/>
    </xf>
    <xf numFmtId="0" fontId="43" fillId="12" borderId="13" xfId="0" applyNumberFormat="1" applyFont="1" applyFill="1" applyBorder="1" applyAlignment="1" applyProtection="1">
      <alignment horizontal="center" vertical="center"/>
      <protection hidden="1"/>
    </xf>
    <xf numFmtId="0" fontId="43" fillId="12" borderId="14" xfId="0" applyNumberFormat="1" applyFont="1" applyFill="1" applyBorder="1" applyAlignment="1" applyProtection="1">
      <alignment horizontal="center" vertical="center"/>
      <protection hidden="1"/>
    </xf>
    <xf numFmtId="0" fontId="43" fillId="12" borderId="20" xfId="0" applyNumberFormat="1" applyFont="1" applyFill="1" applyBorder="1" applyAlignment="1" applyProtection="1">
      <alignment horizontal="center" vertical="center"/>
      <protection hidden="1"/>
    </xf>
    <xf numFmtId="0" fontId="151" fillId="12" borderId="49" xfId="0" applyFont="1" applyFill="1" applyBorder="1" applyAlignment="1">
      <alignment horizontal="center" vertical="center" wrapText="1"/>
    </xf>
    <xf numFmtId="0" fontId="43" fillId="12" borderId="0" xfId="0" applyFont="1" applyFill="1" applyBorder="1" applyAlignment="1" applyProtection="1">
      <alignment horizontal="center" vertical="center" wrapText="1"/>
      <protection hidden="1"/>
    </xf>
    <xf numFmtId="0" fontId="149" fillId="12" borderId="69" xfId="0" applyFont="1" applyFill="1" applyBorder="1" applyAlignment="1" applyProtection="1">
      <alignment horizontal="center" vertical="center" wrapText="1"/>
      <protection hidden="1"/>
    </xf>
    <xf numFmtId="0" fontId="43" fillId="12" borderId="13" xfId="0" applyNumberFormat="1" applyFont="1" applyFill="1" applyBorder="1" applyAlignment="1" applyProtection="1">
      <alignment horizontal="center" vertical="center"/>
      <protection locked="0" hidden="1"/>
    </xf>
    <xf numFmtId="0" fontId="43" fillId="12" borderId="14" xfId="0" applyNumberFormat="1" applyFont="1" applyFill="1" applyBorder="1" applyAlignment="1" applyProtection="1">
      <alignment horizontal="center" vertical="center"/>
      <protection locked="0" hidden="1"/>
    </xf>
    <xf numFmtId="0" fontId="43" fillId="12" borderId="20" xfId="0" applyNumberFormat="1" applyFont="1" applyFill="1" applyBorder="1" applyAlignment="1" applyProtection="1">
      <alignment horizontal="center" vertical="center"/>
      <protection locked="0" hidden="1"/>
    </xf>
    <xf numFmtId="0" fontId="150" fillId="12" borderId="69" xfId="0" applyFont="1" applyFill="1" applyBorder="1" applyAlignment="1" applyProtection="1">
      <alignment horizontal="center" vertical="center" wrapText="1"/>
      <protection hidden="1"/>
    </xf>
    <xf numFmtId="0" fontId="43" fillId="12" borderId="55" xfId="0" applyFont="1" applyFill="1" applyBorder="1" applyAlignment="1" applyProtection="1">
      <alignment horizontal="center" vertical="center"/>
      <protection hidden="1"/>
    </xf>
    <xf numFmtId="0" fontId="150" fillId="12" borderId="49" xfId="0" applyFont="1" applyFill="1" applyBorder="1" applyAlignment="1" applyProtection="1">
      <alignment horizontal="center" vertical="center" wrapText="1"/>
      <protection hidden="1"/>
    </xf>
    <xf numFmtId="0" fontId="43" fillId="12" borderId="44" xfId="0" applyFont="1" applyFill="1" applyBorder="1" applyAlignment="1" applyProtection="1">
      <alignment horizontal="center" vertical="center"/>
      <protection hidden="1"/>
    </xf>
    <xf numFmtId="0" fontId="149" fillId="12" borderId="47" xfId="0" applyFont="1" applyFill="1" applyBorder="1" applyAlignment="1" applyProtection="1">
      <alignment horizontal="center" vertical="center" wrapText="1"/>
      <protection hidden="1"/>
    </xf>
    <xf numFmtId="0" fontId="43" fillId="12" borderId="59" xfId="0" applyNumberFormat="1" applyFont="1" applyFill="1" applyBorder="1" applyAlignment="1" applyProtection="1">
      <alignment horizontal="center" vertical="center"/>
      <protection hidden="1"/>
    </xf>
    <xf numFmtId="49" fontId="114" fillId="9" borderId="58" xfId="0" applyNumberFormat="1" applyFont="1" applyFill="1" applyBorder="1" applyAlignment="1" applyProtection="1">
      <alignment horizontal="left" vertical="center" wrapText="1"/>
      <protection locked="0"/>
    </xf>
    <xf numFmtId="0" fontId="52" fillId="9" borderId="86" xfId="0" applyFont="1" applyFill="1" applyBorder="1" applyAlignment="1" applyProtection="1">
      <alignment horizontal="center" vertical="center" wrapText="1"/>
      <protection locked="0"/>
    </xf>
    <xf numFmtId="0" fontId="69" fillId="6" borderId="50" xfId="0" applyFont="1" applyFill="1" applyBorder="1" applyAlignment="1" applyProtection="1">
      <alignment horizontal="right" vertical="center" wrapText="1"/>
      <protection hidden="1"/>
    </xf>
    <xf numFmtId="0" fontId="139" fillId="6" borderId="49" xfId="1" applyFont="1" applyFill="1" applyBorder="1" applyAlignment="1" applyProtection="1">
      <alignment horizontal="center" vertical="center" wrapText="1"/>
      <protection hidden="1"/>
    </xf>
    <xf numFmtId="0" fontId="140" fillId="6" borderId="49" xfId="1" applyFont="1" applyFill="1" applyBorder="1" applyAlignment="1" applyProtection="1">
      <alignment horizontal="center" vertical="center" wrapText="1"/>
      <protection hidden="1"/>
    </xf>
    <xf numFmtId="0" fontId="139" fillId="6" borderId="69" xfId="1" applyFont="1" applyFill="1" applyBorder="1" applyAlignment="1" applyProtection="1">
      <alignment horizontal="center" vertical="center" wrapText="1"/>
      <protection hidden="1"/>
    </xf>
    <xf numFmtId="0" fontId="144" fillId="6" borderId="52" xfId="0" applyFont="1" applyFill="1" applyBorder="1" applyProtection="1">
      <protection hidden="1"/>
    </xf>
    <xf numFmtId="0" fontId="12" fillId="6" borderId="52" xfId="1" applyFont="1" applyFill="1" applyBorder="1" applyAlignment="1" applyProtection="1">
      <alignment vertical="center" wrapText="1"/>
      <protection hidden="1"/>
    </xf>
    <xf numFmtId="0" fontId="144" fillId="6" borderId="52" xfId="1" applyFont="1" applyFill="1" applyBorder="1" applyAlignment="1" applyProtection="1">
      <alignment horizontal="left" vertical="center" wrapText="1"/>
      <protection hidden="1"/>
    </xf>
    <xf numFmtId="0" fontId="144" fillId="6" borderId="44" xfId="1" applyFont="1" applyFill="1" applyBorder="1" applyAlignment="1" applyProtection="1">
      <alignment horizontal="center" vertical="center" wrapText="1"/>
      <protection hidden="1"/>
    </xf>
    <xf numFmtId="0" fontId="12" fillId="6" borderId="44" xfId="1" applyFont="1" applyFill="1" applyBorder="1" applyAlignment="1" applyProtection="1">
      <alignment vertical="center" wrapText="1"/>
      <protection hidden="1"/>
    </xf>
    <xf numFmtId="0" fontId="144" fillId="6" borderId="44" xfId="1" applyFont="1" applyFill="1" applyBorder="1" applyAlignment="1" applyProtection="1">
      <alignment horizontal="left" vertical="center" wrapText="1"/>
      <protection hidden="1"/>
    </xf>
    <xf numFmtId="0" fontId="137" fillId="6" borderId="52" xfId="0" applyFont="1" applyFill="1" applyBorder="1" applyProtection="1">
      <protection hidden="1"/>
    </xf>
    <xf numFmtId="0" fontId="138" fillId="6" borderId="52" xfId="1" applyFont="1" applyFill="1" applyBorder="1" applyAlignment="1" applyProtection="1">
      <alignment horizontal="left" vertical="center" wrapText="1"/>
      <protection hidden="1"/>
    </xf>
    <xf numFmtId="0" fontId="136" fillId="6" borderId="44" xfId="1" applyFont="1" applyFill="1" applyBorder="1" applyAlignment="1" applyProtection="1">
      <alignment horizontal="center" vertical="center" wrapText="1"/>
      <protection hidden="1"/>
    </xf>
    <xf numFmtId="0" fontId="138" fillId="6" borderId="44" xfId="1" applyFont="1" applyFill="1" applyBorder="1" applyAlignment="1" applyProtection="1">
      <alignment horizontal="left" vertical="center" wrapText="1"/>
      <protection hidden="1"/>
    </xf>
    <xf numFmtId="49" fontId="63" fillId="9" borderId="66" xfId="0" applyNumberFormat="1" applyFont="1" applyFill="1" applyBorder="1" applyAlignment="1" applyProtection="1">
      <alignment horizontal="center" vertical="center" wrapText="1"/>
      <protection locked="0"/>
    </xf>
    <xf numFmtId="49" fontId="63" fillId="9" borderId="68" xfId="0" applyNumberFormat="1" applyFont="1" applyFill="1" applyBorder="1" applyAlignment="1" applyProtection="1">
      <alignment horizontal="center" vertical="center" wrapText="1"/>
      <protection locked="0"/>
    </xf>
    <xf numFmtId="49" fontId="63" fillId="9" borderId="67" xfId="0" applyNumberFormat="1" applyFont="1" applyFill="1" applyBorder="1" applyAlignment="1" applyProtection="1">
      <alignment horizontal="center" vertical="center" wrapText="1"/>
      <protection locked="0"/>
    </xf>
    <xf numFmtId="164" fontId="152" fillId="0" borderId="39" xfId="0" applyNumberFormat="1" applyFont="1" applyBorder="1" applyAlignment="1" applyProtection="1">
      <alignment horizontal="center" vertical="center" wrapText="1"/>
      <protection hidden="1"/>
    </xf>
    <xf numFmtId="164" fontId="155" fillId="0" borderId="106" xfId="0" applyNumberFormat="1" applyFont="1" applyBorder="1" applyAlignment="1" applyProtection="1">
      <alignment horizontal="center" vertical="center" wrapText="1"/>
      <protection hidden="1"/>
    </xf>
    <xf numFmtId="164" fontId="155" fillId="0" borderId="88" xfId="0" applyNumberFormat="1" applyFont="1" applyBorder="1" applyAlignment="1" applyProtection="1">
      <alignment horizontal="center" vertical="center" wrapText="1"/>
      <protection hidden="1"/>
    </xf>
    <xf numFmtId="164" fontId="155" fillId="0" borderId="39" xfId="0" applyNumberFormat="1" applyFont="1" applyBorder="1" applyAlignment="1" applyProtection="1">
      <alignment horizontal="center" vertical="center" wrapText="1"/>
      <protection hidden="1"/>
    </xf>
    <xf numFmtId="164" fontId="155" fillId="0" borderId="37" xfId="0" applyNumberFormat="1" applyFont="1" applyBorder="1" applyAlignment="1" applyProtection="1">
      <alignment horizontal="center" vertical="center" wrapText="1"/>
      <protection hidden="1"/>
    </xf>
    <xf numFmtId="0" fontId="111" fillId="3" borderId="8" xfId="0" applyFont="1" applyFill="1" applyBorder="1" applyAlignment="1">
      <alignment horizontal="center" vertical="center" wrapText="1"/>
    </xf>
    <xf numFmtId="164" fontId="152" fillId="0" borderId="104" xfId="0" applyNumberFormat="1" applyFont="1" applyBorder="1" applyAlignment="1" applyProtection="1">
      <alignment horizontal="center" vertical="center"/>
      <protection hidden="1"/>
    </xf>
    <xf numFmtId="0" fontId="134" fillId="0" borderId="4" xfId="0" applyNumberFormat="1" applyFont="1" applyBorder="1" applyAlignment="1" applyProtection="1">
      <alignment horizontal="left" vertical="center" wrapText="1"/>
      <protection hidden="1"/>
    </xf>
    <xf numFmtId="0" fontId="52" fillId="0" borderId="57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52" fillId="0" borderId="38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right"/>
    </xf>
    <xf numFmtId="0" fontId="3" fillId="0" borderId="37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39" xfId="0" applyFill="1" applyBorder="1" applyAlignment="1">
      <alignment horizontal="left" vertical="center"/>
    </xf>
    <xf numFmtId="0" fontId="0" fillId="0" borderId="5" xfId="0" applyFill="1" applyBorder="1"/>
    <xf numFmtId="0" fontId="0" fillId="0" borderId="16" xfId="0" applyFill="1" applyBorder="1" applyAlignment="1">
      <alignment horizontal="right"/>
    </xf>
    <xf numFmtId="0" fontId="0" fillId="0" borderId="38" xfId="0" applyFill="1" applyBorder="1" applyAlignment="1">
      <alignment horizontal="left" vertical="center"/>
    </xf>
    <xf numFmtId="0" fontId="0" fillId="0" borderId="16" xfId="0" applyFill="1" applyBorder="1"/>
    <xf numFmtId="0" fontId="0" fillId="0" borderId="12" xfId="0" applyFill="1" applyBorder="1" applyAlignment="1">
      <alignment horizontal="right"/>
    </xf>
    <xf numFmtId="0" fontId="0" fillId="0" borderId="66" xfId="0" applyFill="1" applyBorder="1" applyAlignment="1">
      <alignment horizontal="left"/>
    </xf>
    <xf numFmtId="49" fontId="0" fillId="0" borderId="51" xfId="0" applyNumberFormat="1" applyFill="1" applyBorder="1"/>
    <xf numFmtId="0" fontId="0" fillId="0" borderId="37" xfId="0" applyFill="1" applyBorder="1" applyAlignment="1">
      <alignment horizontal="left" vertical="center"/>
    </xf>
    <xf numFmtId="0" fontId="0" fillId="0" borderId="6" xfId="0" applyFill="1" applyBorder="1"/>
    <xf numFmtId="49" fontId="0" fillId="0" borderId="6" xfId="0" applyNumberFormat="1" applyFill="1" applyBorder="1"/>
    <xf numFmtId="0" fontId="0" fillId="0" borderId="15" xfId="0" applyFill="1" applyBorder="1"/>
    <xf numFmtId="0" fontId="52" fillId="0" borderId="12" xfId="0" applyFont="1" applyFill="1" applyBorder="1" applyAlignment="1">
      <alignment horizontal="right"/>
    </xf>
    <xf numFmtId="0" fontId="3" fillId="0" borderId="57" xfId="0" applyFont="1" applyFill="1" applyBorder="1" applyAlignment="1">
      <alignment horizontal="left"/>
    </xf>
    <xf numFmtId="164" fontId="0" fillId="0" borderId="46" xfId="0" applyNumberFormat="1" applyFill="1" applyBorder="1"/>
    <xf numFmtId="164" fontId="0" fillId="0" borderId="34" xfId="0" applyNumberFormat="1" applyFill="1" applyBorder="1"/>
    <xf numFmtId="164" fontId="0" fillId="0" borderId="6" xfId="0" applyNumberFormat="1" applyFill="1" applyBorder="1"/>
    <xf numFmtId="0" fontId="0" fillId="0" borderId="34" xfId="0" applyFill="1" applyBorder="1" applyAlignment="1">
      <alignment horizontal="right"/>
    </xf>
    <xf numFmtId="164" fontId="0" fillId="0" borderId="34" xfId="0" applyNumberFormat="1" applyFill="1" applyBorder="1" applyAlignment="1">
      <alignment horizontal="left"/>
    </xf>
    <xf numFmtId="0" fontId="0" fillId="0" borderId="34" xfId="0" applyFill="1" applyBorder="1"/>
    <xf numFmtId="0" fontId="0" fillId="0" borderId="0" xfId="0" applyFill="1" applyAlignment="1">
      <alignment horizontal="right"/>
    </xf>
    <xf numFmtId="0" fontId="3" fillId="0" borderId="68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7" xfId="0" applyFill="1" applyBorder="1" applyAlignment="1">
      <alignment horizontal="right"/>
    </xf>
    <xf numFmtId="0" fontId="3" fillId="0" borderId="104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52" xfId="0" applyFill="1" applyBorder="1" applyAlignment="1">
      <alignment horizontal="right"/>
    </xf>
    <xf numFmtId="0" fontId="3" fillId="0" borderId="66" xfId="0" applyFont="1" applyFill="1" applyBorder="1" applyAlignment="1">
      <alignment horizontal="left"/>
    </xf>
    <xf numFmtId="0" fontId="0" fillId="0" borderId="53" xfId="0" applyFill="1" applyBorder="1" applyAlignment="1">
      <alignment horizontal="left"/>
    </xf>
    <xf numFmtId="0" fontId="3" fillId="0" borderId="38" xfId="0" applyFont="1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0" fillId="0" borderId="66" xfId="0" applyBorder="1" applyAlignment="1">
      <alignment horizontal="center"/>
    </xf>
    <xf numFmtId="0" fontId="0" fillId="5" borderId="51" xfId="0" applyFill="1" applyBorder="1" applyAlignment="1">
      <alignment horizontal="left"/>
    </xf>
    <xf numFmtId="0" fontId="0" fillId="5" borderId="53" xfId="0" applyFill="1" applyBorder="1" applyAlignment="1">
      <alignment horizontal="left"/>
    </xf>
    <xf numFmtId="0" fontId="0" fillId="5" borderId="52" xfId="0" applyFill="1" applyBorder="1" applyAlignment="1">
      <alignment horizontal="left"/>
    </xf>
    <xf numFmtId="0" fontId="0" fillId="5" borderId="53" xfId="0" applyFill="1" applyBorder="1" applyAlignment="1">
      <alignment horizontal="center"/>
    </xf>
    <xf numFmtId="0" fontId="0" fillId="15" borderId="52" xfId="0" applyFill="1" applyBorder="1"/>
    <xf numFmtId="0" fontId="0" fillId="11" borderId="52" xfId="0" applyFill="1" applyBorder="1" applyAlignment="1">
      <alignment horizontal="left"/>
    </xf>
    <xf numFmtId="0" fontId="0" fillId="11" borderId="51" xfId="0" applyFill="1" applyBorder="1" applyAlignment="1">
      <alignment horizontal="left"/>
    </xf>
    <xf numFmtId="0" fontId="52" fillId="0" borderId="51" xfId="0" applyFont="1" applyBorder="1" applyAlignment="1">
      <alignment horizontal="center" vertical="center"/>
    </xf>
    <xf numFmtId="0" fontId="52" fillId="0" borderId="52" xfId="0" applyFont="1" applyBorder="1" applyAlignment="1">
      <alignment horizontal="center" vertical="center"/>
    </xf>
    <xf numFmtId="0" fontId="52" fillId="0" borderId="66" xfId="0" applyFont="1" applyBorder="1" applyAlignment="1">
      <alignment horizontal="center"/>
    </xf>
    <xf numFmtId="0" fontId="0" fillId="0" borderId="66" xfId="0" applyBorder="1"/>
    <xf numFmtId="0" fontId="0" fillId="0" borderId="5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5" borderId="54" xfId="0" applyFill="1" applyBorder="1" applyAlignment="1">
      <alignment horizontal="left"/>
    </xf>
    <xf numFmtId="0" fontId="0" fillId="5" borderId="55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55" xfId="0" applyFill="1" applyBorder="1" applyAlignment="1">
      <alignment horizontal="center"/>
    </xf>
    <xf numFmtId="0" fontId="0" fillId="15" borderId="0" xfId="0" applyFill="1"/>
    <xf numFmtId="0" fontId="0" fillId="11" borderId="0" xfId="0" applyFill="1" applyAlignment="1">
      <alignment horizontal="left"/>
    </xf>
    <xf numFmtId="0" fontId="0" fillId="11" borderId="54" xfId="0" applyFill="1" applyBorder="1" applyAlignment="1">
      <alignment horizontal="left"/>
    </xf>
    <xf numFmtId="0" fontId="0" fillId="0" borderId="55" xfId="0" applyBorder="1" applyAlignment="1">
      <alignment horizontal="left"/>
    </xf>
    <xf numFmtId="0" fontId="52" fillId="0" borderId="54" xfId="0" applyFont="1" applyBorder="1" applyAlignment="1">
      <alignment horizontal="center" vertical="center"/>
    </xf>
    <xf numFmtId="0" fontId="52" fillId="0" borderId="68" xfId="0" applyFont="1" applyBorder="1" applyAlignment="1">
      <alignment horizontal="center"/>
    </xf>
    <xf numFmtId="0" fontId="0" fillId="0" borderId="68" xfId="0" applyBorder="1"/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52" fillId="0" borderId="67" xfId="0" applyFont="1" applyBorder="1" applyAlignment="1">
      <alignment horizontal="center"/>
    </xf>
    <xf numFmtId="0" fontId="0" fillId="0" borderId="67" xfId="0" applyBorder="1"/>
    <xf numFmtId="0" fontId="0" fillId="0" borderId="43" xfId="0" applyBorder="1" applyAlignment="1">
      <alignment horizontal="center"/>
    </xf>
    <xf numFmtId="0" fontId="0" fillId="0" borderId="56" xfId="0" applyBorder="1" applyAlignment="1">
      <alignment horizontal="center"/>
    </xf>
    <xf numFmtId="0" fontId="52" fillId="0" borderId="66" xfId="0" applyFont="1" applyBorder="1"/>
    <xf numFmtId="0" fontId="0" fillId="4" borderId="51" xfId="0" applyFill="1" applyBorder="1"/>
    <xf numFmtId="0" fontId="0" fillId="0" borderId="109" xfId="0" applyBorder="1" applyAlignment="1">
      <alignment horizontal="left" indent="2"/>
    </xf>
    <xf numFmtId="0" fontId="0" fillId="0" borderId="110" xfId="0" applyBorder="1" applyAlignment="1">
      <alignment horizontal="center"/>
    </xf>
    <xf numFmtId="0" fontId="0" fillId="0" borderId="111" xfId="0" applyBorder="1" applyAlignment="1">
      <alignment horizontal="center"/>
    </xf>
    <xf numFmtId="0" fontId="0" fillId="4" borderId="110" xfId="0" applyFill="1" applyBorder="1"/>
    <xf numFmtId="0" fontId="0" fillId="0" borderId="112" xfId="0" applyBorder="1" applyAlignment="1">
      <alignment horizontal="left" indent="2"/>
    </xf>
    <xf numFmtId="0" fontId="0" fillId="0" borderId="89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4" borderId="89" xfId="0" applyFill="1" applyBorder="1"/>
    <xf numFmtId="0" fontId="0" fillId="0" borderId="68" xfId="0" applyBorder="1" applyAlignment="1">
      <alignment horizontal="left" indent="2"/>
    </xf>
    <xf numFmtId="0" fontId="0" fillId="4" borderId="54" xfId="0" applyFill="1" applyBorder="1"/>
    <xf numFmtId="0" fontId="0" fillId="0" borderId="88" xfId="0" applyBorder="1" applyAlignment="1">
      <alignment horizontal="left" indent="2"/>
    </xf>
    <xf numFmtId="0" fontId="0" fillId="0" borderId="74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4" borderId="74" xfId="0" applyFill="1" applyBorder="1"/>
    <xf numFmtId="0" fontId="0" fillId="0" borderId="88" xfId="0" applyBorder="1"/>
    <xf numFmtId="0" fontId="0" fillId="4" borderId="88" xfId="0" applyFill="1" applyBorder="1"/>
    <xf numFmtId="0" fontId="0" fillId="4" borderId="54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52" fillId="0" borderId="66" xfId="0" applyFont="1" applyBorder="1" applyAlignment="1">
      <alignment horizontal="right"/>
    </xf>
    <xf numFmtId="0" fontId="52" fillId="0" borderId="68" xfId="0" applyFont="1" applyBorder="1" applyAlignment="1">
      <alignment horizontal="right"/>
    </xf>
    <xf numFmtId="0" fontId="0" fillId="0" borderId="67" xfId="0" applyBorder="1" applyAlignment="1">
      <alignment horizontal="center"/>
    </xf>
    <xf numFmtId="0" fontId="0" fillId="5" borderId="43" xfId="0" applyFill="1" applyBorder="1" applyAlignment="1">
      <alignment horizontal="left"/>
    </xf>
    <xf numFmtId="0" fontId="0" fillId="5" borderId="56" xfId="0" applyFill="1" applyBorder="1" applyAlignment="1">
      <alignment horizontal="left"/>
    </xf>
    <xf numFmtId="0" fontId="0" fillId="5" borderId="44" xfId="0" applyFill="1" applyBorder="1" applyAlignment="1">
      <alignment horizontal="left"/>
    </xf>
    <xf numFmtId="0" fontId="0" fillId="5" borderId="56" xfId="0" applyFill="1" applyBorder="1" applyAlignment="1">
      <alignment horizontal="center"/>
    </xf>
    <xf numFmtId="0" fontId="0" fillId="15" borderId="44" xfId="0" applyFill="1" applyBorder="1"/>
    <xf numFmtId="0" fontId="0" fillId="11" borderId="44" xfId="0" applyFill="1" applyBorder="1" applyAlignment="1">
      <alignment horizontal="left"/>
    </xf>
    <xf numFmtId="0" fontId="0" fillId="11" borderId="43" xfId="0" applyFill="1" applyBorder="1" applyAlignment="1">
      <alignment horizontal="left"/>
    </xf>
    <xf numFmtId="0" fontId="0" fillId="0" borderId="56" xfId="0" applyBorder="1" applyAlignment="1">
      <alignment horizontal="left"/>
    </xf>
    <xf numFmtId="0" fontId="52" fillId="0" borderId="43" xfId="0" applyFont="1" applyBorder="1" applyAlignment="1">
      <alignment horizontal="center" vertical="center"/>
    </xf>
    <xf numFmtId="0" fontId="52" fillId="0" borderId="44" xfId="0" applyFont="1" applyBorder="1" applyAlignment="1">
      <alignment horizontal="center" vertical="center"/>
    </xf>
    <xf numFmtId="0" fontId="52" fillId="0" borderId="67" xfId="0" applyFont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37" xfId="0" applyFont="1" applyFill="1" applyBorder="1" applyAlignment="1">
      <alignment horizontal="left"/>
    </xf>
    <xf numFmtId="0" fontId="52" fillId="0" borderId="104" xfId="0" applyFont="1" applyBorder="1" applyAlignment="1">
      <alignment horizontal="center" vertical="center" wrapText="1"/>
    </xf>
    <xf numFmtId="0" fontId="0" fillId="5" borderId="5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44" xfId="0" applyFill="1" applyBorder="1" applyAlignment="1">
      <alignment horizontal="center"/>
    </xf>
    <xf numFmtId="0" fontId="156" fillId="0" borderId="51" xfId="0" applyFont="1" applyBorder="1" applyAlignment="1">
      <alignment horizontal="center" vertical="center"/>
    </xf>
    <xf numFmtId="0" fontId="156" fillId="0" borderId="52" xfId="0" applyFont="1" applyBorder="1" applyAlignment="1">
      <alignment horizontal="center" vertical="center"/>
    </xf>
    <xf numFmtId="0" fontId="156" fillId="0" borderId="53" xfId="0" applyFont="1" applyBorder="1" applyAlignment="1">
      <alignment horizontal="center" vertical="center"/>
    </xf>
    <xf numFmtId="0" fontId="156" fillId="0" borderId="43" xfId="0" applyFont="1" applyBorder="1" applyAlignment="1">
      <alignment horizontal="center" vertical="center"/>
    </xf>
    <xf numFmtId="0" fontId="156" fillId="0" borderId="44" xfId="0" applyFont="1" applyBorder="1" applyAlignment="1">
      <alignment horizontal="center" vertical="center"/>
    </xf>
    <xf numFmtId="0" fontId="156" fillId="0" borderId="56" xfId="0" applyFont="1" applyBorder="1" applyAlignment="1">
      <alignment horizontal="center" vertical="center"/>
    </xf>
    <xf numFmtId="0" fontId="157" fillId="0" borderId="66" xfId="0" applyFont="1" applyBorder="1" applyAlignment="1">
      <alignment horizontal="center" vertical="center"/>
    </xf>
    <xf numFmtId="0" fontId="157" fillId="0" borderId="67" xfId="0" applyFont="1" applyBorder="1" applyAlignment="1">
      <alignment horizontal="center" vertical="center"/>
    </xf>
    <xf numFmtId="0" fontId="52" fillId="0" borderId="68" xfId="0" applyFont="1" applyBorder="1" applyAlignment="1">
      <alignment horizontal="center" vertical="center" textRotation="90" wrapText="1"/>
    </xf>
    <xf numFmtId="0" fontId="52" fillId="0" borderId="67" xfId="0" applyFont="1" applyBorder="1" applyAlignment="1">
      <alignment horizontal="center" vertical="center" textRotation="90" wrapText="1"/>
    </xf>
    <xf numFmtId="0" fontId="52" fillId="0" borderId="66" xfId="0" applyFont="1" applyBorder="1" applyAlignment="1">
      <alignment horizontal="center" vertical="center" textRotation="90" wrapText="1"/>
    </xf>
    <xf numFmtId="0" fontId="156" fillId="0" borderId="71" xfId="0" applyFont="1" applyBorder="1" applyAlignment="1">
      <alignment horizontal="center"/>
    </xf>
    <xf numFmtId="0" fontId="156" fillId="0" borderId="72" xfId="0" applyFont="1" applyBorder="1" applyAlignment="1">
      <alignment horizontal="center"/>
    </xf>
    <xf numFmtId="0" fontId="156" fillId="0" borderId="47" xfId="0" applyFont="1" applyBorder="1" applyAlignment="1">
      <alignment horizontal="center"/>
    </xf>
    <xf numFmtId="0" fontId="157" fillId="0" borderId="62" xfId="0" applyFont="1" applyBorder="1" applyAlignment="1">
      <alignment horizontal="center"/>
    </xf>
    <xf numFmtId="0" fontId="157" fillId="0" borderId="32" xfId="0" applyFont="1" applyBorder="1" applyAlignment="1">
      <alignment horizontal="center"/>
    </xf>
    <xf numFmtId="0" fontId="157" fillId="0" borderId="63" xfId="0" applyFont="1" applyBorder="1" applyAlignment="1">
      <alignment horizontal="center"/>
    </xf>
    <xf numFmtId="0" fontId="157" fillId="0" borderId="71" xfId="0" applyFont="1" applyBorder="1" applyAlignment="1">
      <alignment horizontal="center" vertical="center"/>
    </xf>
    <xf numFmtId="0" fontId="157" fillId="0" borderId="72" xfId="0" applyFont="1" applyBorder="1" applyAlignment="1">
      <alignment horizontal="center" vertical="center"/>
    </xf>
    <xf numFmtId="0" fontId="157" fillId="0" borderId="47" xfId="0" applyFont="1" applyBorder="1" applyAlignment="1">
      <alignment horizontal="center" vertical="center"/>
    </xf>
    <xf numFmtId="0" fontId="52" fillId="2" borderId="27" xfId="0" applyFont="1" applyFill="1" applyBorder="1" applyAlignment="1">
      <alignment horizontal="center"/>
    </xf>
    <xf numFmtId="0" fontId="52" fillId="2" borderId="0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0" xfId="0" applyFill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20" fillId="0" borderId="24" xfId="0" applyFont="1" applyBorder="1" applyAlignment="1" applyProtection="1">
      <alignment horizontal="right" vertical="center"/>
      <protection hidden="1"/>
    </xf>
    <xf numFmtId="0" fontId="20" fillId="0" borderId="18" xfId="0" applyFont="1" applyBorder="1" applyAlignment="1" applyProtection="1">
      <alignment horizontal="right" vertical="center"/>
      <protection hidden="1"/>
    </xf>
    <xf numFmtId="0" fontId="20" fillId="0" borderId="19" xfId="0" applyFont="1" applyBorder="1" applyAlignment="1" applyProtection="1">
      <alignment horizontal="right" vertical="center"/>
      <protection hidden="1"/>
    </xf>
    <xf numFmtId="165" fontId="20" fillId="0" borderId="43" xfId="0" applyNumberFormat="1" applyFont="1" applyBorder="1" applyAlignment="1" applyProtection="1">
      <alignment horizontal="center" vertical="center"/>
      <protection hidden="1"/>
    </xf>
    <xf numFmtId="165" fontId="20" fillId="0" borderId="44" xfId="0" applyNumberFormat="1" applyFont="1" applyBorder="1" applyAlignment="1" applyProtection="1">
      <alignment horizontal="center" vertical="center"/>
      <protection hidden="1"/>
    </xf>
    <xf numFmtId="165" fontId="20" fillId="0" borderId="56" xfId="0" applyNumberFormat="1" applyFont="1" applyBorder="1" applyAlignment="1" applyProtection="1">
      <alignment horizontal="center" vertical="center"/>
      <protection hidden="1"/>
    </xf>
    <xf numFmtId="0" fontId="20" fillId="3" borderId="50" xfId="0" applyFont="1" applyFill="1" applyBorder="1" applyAlignment="1" applyProtection="1">
      <alignment horizontal="left" vertical="center"/>
      <protection hidden="1"/>
    </xf>
    <xf numFmtId="0" fontId="20" fillId="3" borderId="49" xfId="0" applyFont="1" applyFill="1" applyBorder="1" applyAlignment="1" applyProtection="1">
      <alignment horizontal="left" vertical="center"/>
      <protection hidden="1"/>
    </xf>
    <xf numFmtId="0" fontId="20" fillId="3" borderId="69" xfId="0" applyFont="1" applyFill="1" applyBorder="1" applyAlignment="1" applyProtection="1">
      <alignment horizontal="left" vertical="center"/>
      <protection hidden="1"/>
    </xf>
    <xf numFmtId="0" fontId="20" fillId="3" borderId="50" xfId="0" applyFont="1" applyFill="1" applyBorder="1" applyAlignment="1" applyProtection="1">
      <alignment horizontal="left" vertical="center" wrapText="1"/>
      <protection hidden="1"/>
    </xf>
    <xf numFmtId="0" fontId="20" fillId="3" borderId="49" xfId="0" applyFont="1" applyFill="1" applyBorder="1" applyAlignment="1" applyProtection="1">
      <alignment horizontal="left" vertical="center" wrapText="1"/>
      <protection hidden="1"/>
    </xf>
    <xf numFmtId="0" fontId="20" fillId="3" borderId="69" xfId="0" applyFont="1" applyFill="1" applyBorder="1" applyAlignment="1" applyProtection="1">
      <alignment horizontal="left" vertical="center" wrapText="1"/>
      <protection hidden="1"/>
    </xf>
    <xf numFmtId="0" fontId="21" fillId="0" borderId="6" xfId="0" applyFont="1" applyBorder="1" applyAlignment="1" applyProtection="1">
      <alignment horizontal="left" vertical="center" wrapText="1" indent="3"/>
      <protection hidden="1"/>
    </xf>
    <xf numFmtId="0" fontId="21" fillId="0" borderId="2" xfId="0" applyFont="1" applyBorder="1" applyAlignment="1" applyProtection="1">
      <alignment horizontal="left" vertical="center" wrapText="1" indent="3"/>
      <protection hidden="1"/>
    </xf>
    <xf numFmtId="0" fontId="21" fillId="0" borderId="11" xfId="0" applyFont="1" applyBorder="1" applyAlignment="1" applyProtection="1">
      <alignment horizontal="left" vertical="center" wrapText="1" indent="1"/>
      <protection hidden="1"/>
    </xf>
    <xf numFmtId="0" fontId="21" fillId="0" borderId="12" xfId="0" applyFont="1" applyBorder="1" applyAlignment="1" applyProtection="1">
      <alignment horizontal="left" vertical="center" wrapText="1" indent="1"/>
      <protection hidden="1"/>
    </xf>
    <xf numFmtId="0" fontId="55" fillId="2" borderId="27" xfId="0" applyFont="1" applyFill="1" applyBorder="1" applyAlignment="1" applyProtection="1">
      <alignment horizontal="left" vertical="center" wrapText="1" indent="2"/>
      <protection hidden="1"/>
    </xf>
    <xf numFmtId="0" fontId="55" fillId="2" borderId="0" xfId="0" applyFont="1" applyFill="1" applyBorder="1" applyAlignment="1" applyProtection="1">
      <alignment horizontal="left" vertical="center" wrapText="1" indent="2"/>
      <protection hidden="1"/>
    </xf>
    <xf numFmtId="0" fontId="55" fillId="2" borderId="28" xfId="0" applyFont="1" applyFill="1" applyBorder="1" applyAlignment="1" applyProtection="1">
      <alignment horizontal="left" vertical="center" wrapText="1" indent="2"/>
      <protection hidden="1"/>
    </xf>
    <xf numFmtId="0" fontId="55" fillId="2" borderId="27" xfId="0" applyFont="1" applyFill="1" applyBorder="1" applyAlignment="1" applyProtection="1">
      <alignment horizontal="left" wrapText="1" indent="2"/>
      <protection hidden="1"/>
    </xf>
    <xf numFmtId="0" fontId="55" fillId="2" borderId="0" xfId="0" applyFont="1" applyFill="1" applyBorder="1" applyAlignment="1" applyProtection="1">
      <alignment horizontal="left" wrapText="1" indent="2"/>
      <protection hidden="1"/>
    </xf>
    <xf numFmtId="0" fontId="55" fillId="2" borderId="28" xfId="0" applyFont="1" applyFill="1" applyBorder="1" applyAlignment="1" applyProtection="1">
      <alignment horizontal="left" wrapText="1" indent="2"/>
      <protection hidden="1"/>
    </xf>
    <xf numFmtId="0" fontId="21" fillId="0" borderId="6" xfId="0" applyFont="1" applyBorder="1" applyAlignment="1" applyProtection="1">
      <alignment horizontal="left" vertical="center" wrapText="1" indent="1"/>
      <protection hidden="1"/>
    </xf>
    <xf numFmtId="0" fontId="21" fillId="0" borderId="2" xfId="0" applyFont="1" applyBorder="1" applyAlignment="1" applyProtection="1">
      <alignment horizontal="left" vertical="center" wrapText="1" indent="1"/>
      <protection hidden="1"/>
    </xf>
    <xf numFmtId="0" fontId="17" fillId="2" borderId="21" xfId="0" applyFont="1" applyFill="1" applyBorder="1" applyAlignment="1" applyProtection="1">
      <alignment horizontal="right" vertical="center"/>
      <protection hidden="1"/>
    </xf>
    <xf numFmtId="0" fontId="17" fillId="2" borderId="22" xfId="0" applyFont="1" applyFill="1" applyBorder="1" applyAlignment="1" applyProtection="1">
      <alignment horizontal="right" vertical="center"/>
      <protection hidden="1"/>
    </xf>
    <xf numFmtId="0" fontId="17" fillId="2" borderId="23" xfId="0" applyFont="1" applyFill="1" applyBorder="1" applyAlignment="1" applyProtection="1">
      <alignment horizontal="right" vertical="center"/>
      <protection hidden="1"/>
    </xf>
    <xf numFmtId="0" fontId="17" fillId="2" borderId="24" xfId="0" applyFont="1" applyFill="1" applyBorder="1" applyAlignment="1" applyProtection="1">
      <alignment horizontal="right" vertical="center"/>
      <protection hidden="1"/>
    </xf>
    <xf numFmtId="0" fontId="17" fillId="2" borderId="18" xfId="0" applyFont="1" applyFill="1" applyBorder="1" applyAlignment="1" applyProtection="1">
      <alignment horizontal="right" vertical="center"/>
      <protection hidden="1"/>
    </xf>
    <xf numFmtId="0" fontId="17" fillId="2" borderId="19" xfId="0" applyFont="1" applyFill="1" applyBorder="1" applyAlignment="1" applyProtection="1">
      <alignment horizontal="right" vertical="center"/>
      <protection hidden="1"/>
    </xf>
    <xf numFmtId="0" fontId="21" fillId="0" borderId="74" xfId="0" applyFont="1" applyBorder="1" applyAlignment="1" applyProtection="1">
      <alignment horizontal="left" vertical="center" wrapText="1" indent="1"/>
      <protection hidden="1"/>
    </xf>
    <xf numFmtId="0" fontId="21" fillId="0" borderId="75" xfId="0" applyFont="1" applyBorder="1" applyAlignment="1" applyProtection="1">
      <alignment horizontal="left" vertical="center" wrapText="1" indent="1"/>
      <protection hidden="1"/>
    </xf>
    <xf numFmtId="0" fontId="21" fillId="0" borderId="21" xfId="0" applyFont="1" applyBorder="1" applyAlignment="1" applyProtection="1">
      <alignment horizontal="right" vertical="center" wrapText="1"/>
      <protection hidden="1"/>
    </xf>
    <xf numFmtId="0" fontId="21" fillId="0" borderId="22" xfId="0" applyFont="1" applyBorder="1" applyAlignment="1" applyProtection="1">
      <alignment horizontal="right" vertical="center" wrapText="1"/>
      <protection hidden="1"/>
    </xf>
    <xf numFmtId="0" fontId="21" fillId="0" borderId="23" xfId="0" applyFont="1" applyBorder="1" applyAlignment="1" applyProtection="1">
      <alignment horizontal="right" vertical="center" wrapText="1"/>
      <protection hidden="1"/>
    </xf>
    <xf numFmtId="0" fontId="21" fillId="0" borderId="24" xfId="0" applyFont="1" applyBorder="1" applyAlignment="1" applyProtection="1">
      <alignment horizontal="right" vertical="center"/>
      <protection hidden="1"/>
    </xf>
    <xf numFmtId="0" fontId="21" fillId="0" borderId="18" xfId="0" applyFont="1" applyBorder="1" applyAlignment="1" applyProtection="1">
      <alignment horizontal="right" vertical="center"/>
      <protection hidden="1"/>
    </xf>
    <xf numFmtId="0" fontId="21" fillId="0" borderId="19" xfId="0" applyFont="1" applyBorder="1" applyAlignment="1" applyProtection="1">
      <alignment horizontal="right" vertical="center"/>
      <protection hidden="1"/>
    </xf>
    <xf numFmtId="0" fontId="21" fillId="0" borderId="58" xfId="0" applyFont="1" applyBorder="1" applyAlignment="1" applyProtection="1">
      <alignment horizontal="left" vertical="center" wrapText="1" indent="1"/>
      <protection hidden="1"/>
    </xf>
    <xf numFmtId="0" fontId="21" fillId="0" borderId="5" xfId="0" applyFont="1" applyBorder="1" applyAlignment="1" applyProtection="1">
      <alignment horizontal="left" vertical="center" wrapText="1" indent="1"/>
      <protection hidden="1"/>
    </xf>
    <xf numFmtId="0" fontId="105" fillId="2" borderId="27" xfId="0" applyFont="1" applyFill="1" applyBorder="1" applyAlignment="1" applyProtection="1">
      <alignment horizontal="left" indent="1"/>
      <protection hidden="1"/>
    </xf>
    <xf numFmtId="0" fontId="105" fillId="2" borderId="0" xfId="0" applyFont="1" applyFill="1" applyBorder="1" applyAlignment="1" applyProtection="1">
      <alignment horizontal="left" indent="1"/>
      <protection hidden="1"/>
    </xf>
    <xf numFmtId="0" fontId="105" fillId="2" borderId="28" xfId="0" applyFont="1" applyFill="1" applyBorder="1" applyAlignment="1" applyProtection="1">
      <alignment horizontal="left" indent="1"/>
      <protection hidden="1"/>
    </xf>
    <xf numFmtId="0" fontId="25" fillId="0" borderId="6" xfId="0" applyFont="1" applyFill="1" applyBorder="1" applyAlignment="1" applyProtection="1">
      <alignment horizontal="right" vertical="center"/>
      <protection hidden="1"/>
    </xf>
    <xf numFmtId="0" fontId="25" fillId="0" borderId="3" xfId="0" applyFont="1" applyFill="1" applyBorder="1" applyAlignment="1" applyProtection="1">
      <alignment horizontal="right" vertical="center"/>
      <protection hidden="1"/>
    </xf>
    <xf numFmtId="0" fontId="17" fillId="0" borderId="1" xfId="0" applyFont="1" applyFill="1" applyBorder="1" applyAlignment="1" applyProtection="1">
      <alignment horizontal="left"/>
      <protection hidden="1"/>
    </xf>
    <xf numFmtId="0" fontId="17" fillId="0" borderId="2" xfId="0" applyFont="1" applyFill="1" applyBorder="1" applyAlignment="1" applyProtection="1">
      <alignment horizontal="left"/>
      <protection hidden="1"/>
    </xf>
    <xf numFmtId="0" fontId="17" fillId="0" borderId="34" xfId="0" applyFont="1" applyFill="1" applyBorder="1" applyAlignment="1" applyProtection="1">
      <alignment horizontal="left"/>
      <protection hidden="1"/>
    </xf>
    <xf numFmtId="0" fontId="25" fillId="0" borderId="15" xfId="0" applyFont="1" applyFill="1" applyBorder="1" applyAlignment="1" applyProtection="1">
      <alignment horizontal="right" vertical="center" wrapText="1"/>
      <protection hidden="1"/>
    </xf>
    <xf numFmtId="0" fontId="25" fillId="0" borderId="17" xfId="0" applyFont="1" applyFill="1" applyBorder="1" applyAlignment="1" applyProtection="1">
      <alignment horizontal="right" vertical="center" wrapText="1"/>
      <protection hidden="1"/>
    </xf>
    <xf numFmtId="0" fontId="10" fillId="0" borderId="19" xfId="0" applyFont="1" applyFill="1" applyBorder="1" applyAlignment="1" applyProtection="1">
      <alignment horizontal="left" vertical="top"/>
      <protection hidden="1"/>
    </xf>
    <xf numFmtId="0" fontId="10" fillId="0" borderId="16" xfId="0" applyFont="1" applyFill="1" applyBorder="1" applyAlignment="1" applyProtection="1">
      <alignment horizontal="left" vertical="top"/>
      <protection hidden="1"/>
    </xf>
    <xf numFmtId="0" fontId="10" fillId="0" borderId="17" xfId="0" applyFont="1" applyFill="1" applyBorder="1" applyAlignment="1" applyProtection="1">
      <alignment horizontal="left" vertical="top"/>
      <protection hidden="1"/>
    </xf>
    <xf numFmtId="0" fontId="10" fillId="0" borderId="35" xfId="0" applyFont="1" applyFill="1" applyBorder="1" applyAlignment="1" applyProtection="1">
      <alignment horizontal="left" vertical="top"/>
      <protection hidden="1"/>
    </xf>
    <xf numFmtId="0" fontId="58" fillId="3" borderId="10" xfId="0" applyFont="1" applyFill="1" applyBorder="1" applyAlignment="1" applyProtection="1">
      <alignment horizontal="left" vertical="center"/>
      <protection hidden="1"/>
    </xf>
    <xf numFmtId="0" fontId="58" fillId="3" borderId="7" xfId="0" applyFont="1" applyFill="1" applyBorder="1" applyAlignment="1" applyProtection="1">
      <alignment horizontal="left" vertical="center"/>
      <protection hidden="1"/>
    </xf>
    <xf numFmtId="0" fontId="58" fillId="3" borderId="8" xfId="0" applyFont="1" applyFill="1" applyBorder="1" applyAlignment="1" applyProtection="1">
      <alignment horizontal="left" vertical="center"/>
      <protection hidden="1"/>
    </xf>
    <xf numFmtId="0" fontId="58" fillId="3" borderId="25" xfId="0" applyFont="1" applyFill="1" applyBorder="1" applyAlignment="1" applyProtection="1">
      <alignment horizontal="left" vertical="center"/>
      <protection hidden="1"/>
    </xf>
    <xf numFmtId="0" fontId="58" fillId="3" borderId="5" xfId="0" applyFont="1" applyFill="1" applyBorder="1" applyAlignment="1" applyProtection="1">
      <alignment horizontal="left" vertical="center"/>
      <protection hidden="1"/>
    </xf>
    <xf numFmtId="0" fontId="58" fillId="3" borderId="26" xfId="0" applyFont="1" applyFill="1" applyBorder="1" applyAlignment="1" applyProtection="1">
      <alignment horizontal="left" vertical="center"/>
      <protection hidden="1"/>
    </xf>
    <xf numFmtId="0" fontId="58" fillId="3" borderId="27" xfId="0" applyFont="1" applyFill="1" applyBorder="1" applyAlignment="1" applyProtection="1">
      <alignment horizontal="left" vertical="center" wrapText="1"/>
      <protection hidden="1"/>
    </xf>
    <xf numFmtId="0" fontId="58" fillId="3" borderId="0" xfId="0" applyFont="1" applyFill="1" applyBorder="1" applyAlignment="1" applyProtection="1">
      <alignment horizontal="left" vertical="center" wrapText="1"/>
      <protection hidden="1"/>
    </xf>
    <xf numFmtId="0" fontId="58" fillId="3" borderId="28" xfId="0" applyFont="1" applyFill="1" applyBorder="1" applyAlignment="1" applyProtection="1">
      <alignment horizontal="left" vertical="center" wrapText="1"/>
      <protection hidden="1"/>
    </xf>
    <xf numFmtId="0" fontId="72" fillId="2" borderId="1" xfId="0" applyFont="1" applyFill="1" applyBorder="1" applyAlignment="1" applyProtection="1">
      <alignment horizontal="right" vertical="center" wrapText="1"/>
      <protection hidden="1"/>
    </xf>
    <xf numFmtId="0" fontId="72" fillId="2" borderId="2" xfId="0" applyFont="1" applyFill="1" applyBorder="1" applyAlignment="1" applyProtection="1">
      <alignment horizontal="right" vertical="center" wrapText="1"/>
      <protection hidden="1"/>
    </xf>
    <xf numFmtId="0" fontId="72" fillId="2" borderId="3" xfId="0" applyFont="1" applyFill="1" applyBorder="1" applyAlignment="1" applyProtection="1">
      <alignment horizontal="right" vertical="center" wrapText="1"/>
      <protection hidden="1"/>
    </xf>
    <xf numFmtId="0" fontId="55" fillId="2" borderId="25" xfId="0" applyFont="1" applyFill="1" applyBorder="1" applyAlignment="1" applyProtection="1">
      <alignment horizontal="left" wrapText="1" indent="2"/>
      <protection hidden="1"/>
    </xf>
    <xf numFmtId="0" fontId="55" fillId="2" borderId="5" xfId="0" applyFont="1" applyFill="1" applyBorder="1" applyAlignment="1" applyProtection="1">
      <alignment horizontal="left" wrapText="1" indent="2"/>
      <protection hidden="1"/>
    </xf>
    <xf numFmtId="0" fontId="55" fillId="2" borderId="26" xfId="0" applyFont="1" applyFill="1" applyBorder="1" applyAlignment="1" applyProtection="1">
      <alignment horizontal="left" wrapText="1" indent="2"/>
      <protection hidden="1"/>
    </xf>
    <xf numFmtId="0" fontId="55" fillId="2" borderId="27" xfId="0" applyFont="1" applyFill="1" applyBorder="1" applyAlignment="1" applyProtection="1">
      <alignment horizontal="left" vertical="top" wrapText="1" indent="2"/>
      <protection hidden="1"/>
    </xf>
    <xf numFmtId="0" fontId="55" fillId="2" borderId="0" xfId="0" applyFont="1" applyFill="1" applyBorder="1" applyAlignment="1" applyProtection="1">
      <alignment horizontal="left" vertical="top" wrapText="1" indent="2"/>
      <protection hidden="1"/>
    </xf>
    <xf numFmtId="0" fontId="55" fillId="2" borderId="28" xfId="0" applyFont="1" applyFill="1" applyBorder="1" applyAlignment="1" applyProtection="1">
      <alignment horizontal="left" vertical="top" wrapText="1" indent="2"/>
      <protection hidden="1"/>
    </xf>
    <xf numFmtId="0" fontId="55" fillId="2" borderId="25" xfId="0" applyFont="1" applyFill="1" applyBorder="1" applyAlignment="1" applyProtection="1">
      <alignment horizontal="left" vertical="center" wrapText="1" indent="2"/>
      <protection hidden="1"/>
    </xf>
    <xf numFmtId="0" fontId="55" fillId="2" borderId="5" xfId="0" applyFont="1" applyFill="1" applyBorder="1" applyAlignment="1" applyProtection="1">
      <alignment horizontal="left" vertical="center" wrapText="1" indent="2"/>
      <protection hidden="1"/>
    </xf>
    <xf numFmtId="0" fontId="55" fillId="2" borderId="26" xfId="0" applyFont="1" applyFill="1" applyBorder="1" applyAlignment="1" applyProtection="1">
      <alignment horizontal="left" vertical="center" wrapText="1" indent="2"/>
      <protection hidden="1"/>
    </xf>
    <xf numFmtId="0" fontId="72" fillId="7" borderId="1" xfId="0" applyFont="1" applyFill="1" applyBorder="1" applyAlignment="1" applyProtection="1">
      <alignment horizontal="right" vertical="center" wrapText="1"/>
      <protection hidden="1"/>
    </xf>
    <xf numFmtId="0" fontId="72" fillId="7" borderId="2" xfId="0" applyFont="1" applyFill="1" applyBorder="1" applyAlignment="1" applyProtection="1">
      <alignment horizontal="right" vertical="center" wrapText="1"/>
      <protection hidden="1"/>
    </xf>
    <xf numFmtId="0" fontId="72" fillId="7" borderId="3" xfId="0" applyFont="1" applyFill="1" applyBorder="1" applyAlignment="1" applyProtection="1">
      <alignment horizontal="right" vertical="center" wrapText="1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horizontal="center"/>
      <protection hidden="1"/>
    </xf>
    <xf numFmtId="0" fontId="24" fillId="0" borderId="24" xfId="0" applyFont="1" applyFill="1" applyBorder="1" applyAlignment="1" applyProtection="1">
      <alignment horizontal="right" vertical="center"/>
      <protection hidden="1"/>
    </xf>
    <xf numFmtId="0" fontId="24" fillId="0" borderId="18" xfId="0" applyFont="1" applyFill="1" applyBorder="1" applyAlignment="1" applyProtection="1">
      <alignment horizontal="right" vertical="center"/>
      <protection hidden="1"/>
    </xf>
    <xf numFmtId="0" fontId="20" fillId="0" borderId="89" xfId="0" applyFont="1" applyBorder="1" applyAlignment="1" applyProtection="1">
      <alignment horizontal="left" vertical="center" wrapText="1" indent="1"/>
      <protection hidden="1"/>
    </xf>
    <xf numFmtId="0" fontId="20" fillId="0" borderId="90" xfId="0" applyFont="1" applyBorder="1" applyAlignment="1" applyProtection="1">
      <alignment horizontal="left" vertical="center" wrapText="1" indent="1"/>
      <protection hidden="1"/>
    </xf>
    <xf numFmtId="0" fontId="21" fillId="0" borderId="58" xfId="0" applyFont="1" applyBorder="1" applyAlignment="1" applyProtection="1">
      <alignment horizontal="left" vertical="center" wrapText="1" indent="3"/>
      <protection hidden="1"/>
    </xf>
    <xf numFmtId="0" fontId="21" fillId="0" borderId="5" xfId="0" applyFont="1" applyBorder="1" applyAlignment="1" applyProtection="1">
      <alignment horizontal="left" vertical="center" wrapText="1" indent="3"/>
      <protection hidden="1"/>
    </xf>
    <xf numFmtId="0" fontId="21" fillId="0" borderId="40" xfId="0" applyFont="1" applyBorder="1" applyAlignment="1" applyProtection="1">
      <alignment horizontal="left" vertical="center" wrapText="1" indent="1"/>
      <protection hidden="1"/>
    </xf>
    <xf numFmtId="0" fontId="21" fillId="0" borderId="7" xfId="0" applyFont="1" applyBorder="1" applyAlignment="1" applyProtection="1">
      <alignment horizontal="left" vertical="center" wrapText="1" indent="1"/>
      <protection hidden="1"/>
    </xf>
    <xf numFmtId="0" fontId="20" fillId="0" borderId="21" xfId="0" applyFont="1" applyBorder="1" applyAlignment="1" applyProtection="1">
      <alignment horizontal="right" vertical="center" wrapText="1"/>
      <protection hidden="1"/>
    </xf>
    <xf numFmtId="0" fontId="20" fillId="0" borderId="22" xfId="0" applyFont="1" applyBorder="1" applyAlignment="1" applyProtection="1">
      <alignment horizontal="right" vertical="center" wrapText="1"/>
      <protection hidden="1"/>
    </xf>
    <xf numFmtId="0" fontId="20" fillId="0" borderId="23" xfId="0" applyFont="1" applyBorder="1" applyAlignment="1" applyProtection="1">
      <alignment horizontal="right" vertical="center" wrapText="1"/>
      <protection hidden="1"/>
    </xf>
    <xf numFmtId="0" fontId="21" fillId="0" borderId="74" xfId="0" applyFont="1" applyBorder="1" applyAlignment="1" applyProtection="1">
      <alignment horizontal="left" vertical="center" wrapText="1" indent="3"/>
      <protection hidden="1"/>
    </xf>
    <xf numFmtId="0" fontId="21" fillId="0" borderId="75" xfId="0" applyFont="1" applyBorder="1" applyAlignment="1" applyProtection="1">
      <alignment horizontal="left" vertical="center" wrapText="1" indent="3"/>
      <protection hidden="1"/>
    </xf>
    <xf numFmtId="165" fontId="20" fillId="0" borderId="11" xfId="0" applyNumberFormat="1" applyFont="1" applyBorder="1" applyAlignment="1" applyProtection="1">
      <alignment horizontal="center" vertical="center"/>
      <protection hidden="1"/>
    </xf>
    <xf numFmtId="165" fontId="20" fillId="0" borderId="12" xfId="0" applyNumberFormat="1" applyFont="1" applyBorder="1" applyAlignment="1" applyProtection="1">
      <alignment horizontal="center" vertical="center"/>
      <protection hidden="1"/>
    </xf>
    <xf numFmtId="165" fontId="20" fillId="0" borderId="46" xfId="0" applyNumberFormat="1" applyFont="1" applyBorder="1" applyAlignment="1" applyProtection="1">
      <alignment horizontal="center" vertical="center"/>
      <protection hidden="1"/>
    </xf>
    <xf numFmtId="0" fontId="135" fillId="6" borderId="2" xfId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5" fillId="0" borderId="7" xfId="0" applyFont="1" applyBorder="1" applyAlignment="1" applyProtection="1">
      <alignment horizontal="center" vertical="top"/>
      <protection hidden="1"/>
    </xf>
    <xf numFmtId="0" fontId="56" fillId="0" borderId="4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 wrapText="1"/>
      <protection hidden="1"/>
    </xf>
    <xf numFmtId="0" fontId="46" fillId="6" borderId="1" xfId="0" applyFont="1" applyFill="1" applyBorder="1" applyAlignment="1" applyProtection="1">
      <alignment horizontal="right" vertical="center"/>
      <protection hidden="1"/>
    </xf>
    <xf numFmtId="0" fontId="46" fillId="6" borderId="2" xfId="0" applyFont="1" applyFill="1" applyBorder="1" applyAlignment="1" applyProtection="1">
      <alignment horizontal="right" vertical="center"/>
      <protection hidden="1"/>
    </xf>
    <xf numFmtId="0" fontId="56" fillId="0" borderId="4" xfId="0" applyFont="1" applyBorder="1" applyAlignment="1" applyProtection="1">
      <alignment horizontal="center" shrinkToFit="1"/>
      <protection locked="0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top"/>
      <protection hidden="1"/>
    </xf>
    <xf numFmtId="0" fontId="58" fillId="0" borderId="66" xfId="0" applyFont="1" applyBorder="1" applyAlignment="1" applyProtection="1">
      <alignment horizontal="center" vertical="center" wrapText="1"/>
      <protection hidden="1"/>
    </xf>
    <xf numFmtId="0" fontId="58" fillId="0" borderId="67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right" vertical="center"/>
      <protection hidden="1"/>
    </xf>
    <xf numFmtId="0" fontId="27" fillId="9" borderId="0" xfId="0" applyFont="1" applyFill="1" applyBorder="1" applyAlignment="1" applyProtection="1">
      <alignment horizontal="right" vertical="center"/>
      <protection hidden="1"/>
    </xf>
    <xf numFmtId="0" fontId="17" fillId="0" borderId="4" xfId="0" applyFont="1" applyBorder="1" applyAlignment="1" applyProtection="1">
      <alignment horizontal="left" vertical="center"/>
      <protection locked="0"/>
    </xf>
    <xf numFmtId="0" fontId="26" fillId="2" borderId="4" xfId="0" applyFont="1" applyFill="1" applyBorder="1" applyAlignment="1" applyProtection="1">
      <alignment horizontal="left" vertical="center"/>
      <protection hidden="1"/>
    </xf>
    <xf numFmtId="0" fontId="58" fillId="0" borderId="11" xfId="0" applyFont="1" applyBorder="1" applyAlignment="1" applyProtection="1">
      <alignment horizontal="center" vertical="center" wrapText="1"/>
      <protection hidden="1"/>
    </xf>
    <xf numFmtId="0" fontId="58" fillId="0" borderId="46" xfId="0" applyFont="1" applyBorder="1" applyAlignment="1" applyProtection="1">
      <alignment horizontal="center" vertical="center"/>
      <protection hidden="1"/>
    </xf>
    <xf numFmtId="0" fontId="77" fillId="0" borderId="0" xfId="0" applyFont="1" applyFill="1" applyBorder="1" applyAlignment="1" applyProtection="1">
      <alignment horizontal="right" vertical="center" wrapText="1"/>
    </xf>
    <xf numFmtId="0" fontId="18" fillId="4" borderId="1" xfId="0" applyFont="1" applyFill="1" applyBorder="1" applyAlignment="1" applyProtection="1">
      <alignment horizontal="left" vertical="top" wrapText="1"/>
      <protection locked="0"/>
    </xf>
    <xf numFmtId="0" fontId="18" fillId="4" borderId="2" xfId="0" applyFont="1" applyFill="1" applyBorder="1" applyAlignment="1" applyProtection="1">
      <alignment horizontal="left" vertical="top" wrapText="1"/>
      <protection locked="0"/>
    </xf>
    <xf numFmtId="0" fontId="18" fillId="4" borderId="3" xfId="0" applyFont="1" applyFill="1" applyBorder="1" applyAlignment="1" applyProtection="1">
      <alignment horizontal="left" vertical="top" wrapText="1"/>
      <protection locked="0"/>
    </xf>
    <xf numFmtId="0" fontId="70" fillId="0" borderId="52" xfId="0" applyNumberFormat="1" applyFont="1" applyBorder="1" applyAlignment="1" applyProtection="1">
      <alignment horizontal="left" vertical="center"/>
      <protection hidden="1"/>
    </xf>
    <xf numFmtId="0" fontId="70" fillId="0" borderId="53" xfId="0" applyNumberFormat="1" applyFont="1" applyBorder="1" applyAlignment="1" applyProtection="1">
      <alignment horizontal="left" vertical="center"/>
      <protection hidden="1"/>
    </xf>
    <xf numFmtId="0" fontId="70" fillId="0" borderId="44" xfId="0" applyNumberFormat="1" applyFont="1" applyBorder="1" applyAlignment="1" applyProtection="1">
      <alignment horizontal="left" vertical="center"/>
      <protection hidden="1"/>
    </xf>
    <xf numFmtId="0" fontId="70" fillId="0" borderId="56" xfId="0" applyNumberFormat="1" applyFont="1" applyBorder="1" applyAlignment="1" applyProtection="1">
      <alignment horizontal="left" vertical="center"/>
      <protection hidden="1"/>
    </xf>
    <xf numFmtId="0" fontId="20" fillId="0" borderId="51" xfId="0" applyFont="1" applyBorder="1" applyAlignment="1" applyProtection="1">
      <alignment horizontal="right" vertical="center"/>
      <protection hidden="1"/>
    </xf>
    <xf numFmtId="0" fontId="20" fillId="0" borderId="52" xfId="0" applyFont="1" applyBorder="1" applyAlignment="1" applyProtection="1">
      <alignment horizontal="right" vertical="center"/>
      <protection hidden="1"/>
    </xf>
    <xf numFmtId="0" fontId="20" fillId="0" borderId="43" xfId="0" applyFont="1" applyBorder="1" applyAlignment="1" applyProtection="1">
      <alignment horizontal="right" vertical="center"/>
      <protection hidden="1"/>
    </xf>
    <xf numFmtId="0" fontId="20" fillId="0" borderId="44" xfId="0" applyFont="1" applyBorder="1" applyAlignment="1" applyProtection="1">
      <alignment horizontal="right" vertical="center"/>
      <protection hidden="1"/>
    </xf>
    <xf numFmtId="0" fontId="58" fillId="0" borderId="12" xfId="0" applyFont="1" applyBorder="1" applyAlignment="1" applyProtection="1">
      <alignment horizontal="center" vertical="center"/>
      <protection hidden="1"/>
    </xf>
    <xf numFmtId="0" fontId="63" fillId="0" borderId="1" xfId="0" applyFont="1" applyBorder="1" applyAlignment="1" applyProtection="1">
      <alignment horizontal="left" vertical="center"/>
      <protection locked="0"/>
    </xf>
    <xf numFmtId="0" fontId="63" fillId="0" borderId="2" xfId="0" applyFont="1" applyBorder="1" applyAlignment="1" applyProtection="1">
      <alignment horizontal="left" vertical="center"/>
      <protection locked="0"/>
    </xf>
    <xf numFmtId="0" fontId="63" fillId="0" borderId="3" xfId="0" applyFont="1" applyBorder="1" applyAlignment="1" applyProtection="1">
      <alignment horizontal="left" vertical="center"/>
      <protection locked="0"/>
    </xf>
    <xf numFmtId="0" fontId="132" fillId="0" borderId="1" xfId="0" applyNumberFormat="1" applyFont="1" applyBorder="1" applyAlignment="1" applyProtection="1">
      <alignment horizontal="right" vertical="center" wrapText="1"/>
      <protection locked="0"/>
    </xf>
    <xf numFmtId="0" fontId="132" fillId="0" borderId="2" xfId="0" applyNumberFormat="1" applyFont="1" applyBorder="1" applyAlignment="1" applyProtection="1">
      <alignment horizontal="right" vertical="center" wrapText="1"/>
      <protection locked="0"/>
    </xf>
    <xf numFmtId="0" fontId="30" fillId="0" borderId="107" xfId="0" applyFont="1" applyBorder="1" applyAlignment="1" applyProtection="1">
      <alignment vertical="center" wrapText="1"/>
      <protection locked="0"/>
    </xf>
    <xf numFmtId="0" fontId="30" fillId="0" borderId="2" xfId="0" applyFont="1" applyBorder="1" applyAlignment="1" applyProtection="1">
      <alignment vertical="center" wrapText="1"/>
      <protection locked="0"/>
    </xf>
    <xf numFmtId="0" fontId="30" fillId="0" borderId="3" xfId="0" applyFont="1" applyBorder="1" applyAlignment="1" applyProtection="1">
      <alignment vertical="center" wrapText="1"/>
      <protection locked="0"/>
    </xf>
    <xf numFmtId="0" fontId="103" fillId="0" borderId="1" xfId="0" applyFont="1" applyBorder="1" applyAlignment="1" applyProtection="1">
      <alignment horizontal="left" wrapText="1" indent="2"/>
      <protection hidden="1"/>
    </xf>
    <xf numFmtId="0" fontId="103" fillId="0" borderId="2" xfId="0" applyFont="1" applyBorder="1" applyAlignment="1" applyProtection="1">
      <alignment horizontal="left" indent="2"/>
      <protection hidden="1"/>
    </xf>
    <xf numFmtId="0" fontId="103" fillId="0" borderId="3" xfId="0" applyFont="1" applyBorder="1" applyAlignment="1" applyProtection="1">
      <alignment horizontal="left" indent="2"/>
      <protection hidden="1"/>
    </xf>
    <xf numFmtId="0" fontId="102" fillId="0" borderId="10" xfId="0" applyFont="1" applyFill="1" applyBorder="1" applyAlignment="1" applyProtection="1">
      <alignment horizontal="left" wrapText="1" indent="1"/>
      <protection hidden="1"/>
    </xf>
    <xf numFmtId="0" fontId="102" fillId="0" borderId="7" xfId="0" applyFont="1" applyFill="1" applyBorder="1" applyAlignment="1" applyProtection="1">
      <alignment horizontal="left" wrapText="1" indent="1"/>
      <protection hidden="1"/>
    </xf>
    <xf numFmtId="0" fontId="102" fillId="0" borderId="8" xfId="0" applyFont="1" applyFill="1" applyBorder="1" applyAlignment="1" applyProtection="1">
      <alignment horizontal="left" wrapText="1" indent="1"/>
      <protection hidden="1"/>
    </xf>
    <xf numFmtId="0" fontId="102" fillId="0" borderId="27" xfId="0" applyFont="1" applyFill="1" applyBorder="1" applyAlignment="1" applyProtection="1">
      <alignment horizontal="left" wrapText="1" indent="1"/>
      <protection hidden="1"/>
    </xf>
    <xf numFmtId="0" fontId="102" fillId="0" borderId="0" xfId="0" applyFont="1" applyFill="1" applyBorder="1" applyAlignment="1" applyProtection="1">
      <alignment horizontal="left" wrapText="1" indent="1"/>
      <protection hidden="1"/>
    </xf>
    <xf numFmtId="0" fontId="102" fillId="0" borderId="28" xfId="0" applyFont="1" applyFill="1" applyBorder="1" applyAlignment="1" applyProtection="1">
      <alignment horizontal="left" wrapText="1" indent="1"/>
      <protection hidden="1"/>
    </xf>
    <xf numFmtId="0" fontId="55" fillId="2" borderId="10" xfId="0" applyFont="1" applyFill="1" applyBorder="1" applyAlignment="1" applyProtection="1">
      <alignment horizontal="left" vertical="center" wrapText="1" indent="2"/>
      <protection hidden="1"/>
    </xf>
    <xf numFmtId="0" fontId="55" fillId="2" borderId="7" xfId="0" applyFont="1" applyFill="1" applyBorder="1" applyAlignment="1" applyProtection="1">
      <alignment horizontal="left" vertical="center" wrapText="1" indent="2"/>
      <protection hidden="1"/>
    </xf>
    <xf numFmtId="0" fontId="55" fillId="2" borderId="8" xfId="0" applyFont="1" applyFill="1" applyBorder="1" applyAlignment="1" applyProtection="1">
      <alignment horizontal="left" vertical="center" wrapText="1" indent="2"/>
      <protection hidden="1"/>
    </xf>
    <xf numFmtId="166" fontId="17" fillId="2" borderId="11" xfId="0" applyNumberFormat="1" applyFont="1" applyFill="1" applyBorder="1" applyAlignment="1" applyProtection="1">
      <alignment horizontal="center" vertical="center"/>
      <protection hidden="1"/>
    </xf>
    <xf numFmtId="166" fontId="17" fillId="2" borderId="12" xfId="0" applyNumberFormat="1" applyFont="1" applyFill="1" applyBorder="1" applyAlignment="1" applyProtection="1">
      <alignment horizontal="center" vertical="center"/>
      <protection hidden="1"/>
    </xf>
    <xf numFmtId="166" fontId="17" fillId="2" borderId="46" xfId="0" applyNumberFormat="1" applyFont="1" applyFill="1" applyBorder="1" applyAlignment="1" applyProtection="1">
      <alignment horizontal="center" vertical="center"/>
      <protection hidden="1"/>
    </xf>
    <xf numFmtId="166" fontId="17" fillId="2" borderId="15" xfId="0" applyNumberFormat="1" applyFont="1" applyFill="1" applyBorder="1" applyAlignment="1" applyProtection="1">
      <alignment horizontal="center" vertical="center"/>
      <protection hidden="1"/>
    </xf>
    <xf numFmtId="166" fontId="17" fillId="2" borderId="16" xfId="0" applyNumberFormat="1" applyFont="1" applyFill="1" applyBorder="1" applyAlignment="1" applyProtection="1">
      <alignment horizontal="center" vertical="center"/>
      <protection hidden="1"/>
    </xf>
    <xf numFmtId="166" fontId="17" fillId="2" borderId="35" xfId="0" applyNumberFormat="1" applyFont="1" applyFill="1" applyBorder="1" applyAlignment="1" applyProtection="1">
      <alignment horizontal="center" vertical="center"/>
      <protection hidden="1"/>
    </xf>
    <xf numFmtId="0" fontId="24" fillId="0" borderId="6" xfId="0" applyFont="1" applyFill="1" applyBorder="1" applyAlignment="1" applyProtection="1">
      <alignment horizontal="right" vertical="center"/>
      <protection hidden="1"/>
    </xf>
    <xf numFmtId="0" fontId="24" fillId="0" borderId="2" xfId="0" applyFont="1" applyFill="1" applyBorder="1" applyAlignment="1" applyProtection="1">
      <alignment horizontal="right" vertical="center"/>
      <protection hidden="1"/>
    </xf>
    <xf numFmtId="0" fontId="24" fillId="0" borderId="3" xfId="0" applyFont="1" applyFill="1" applyBorder="1" applyAlignment="1" applyProtection="1">
      <alignment horizontal="right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23" xfId="0" applyFont="1" applyFill="1" applyBorder="1" applyAlignment="1" applyProtection="1">
      <alignment horizontal="center" vertical="center"/>
      <protection hidden="1"/>
    </xf>
    <xf numFmtId="0" fontId="10" fillId="2" borderId="30" xfId="0" applyFont="1" applyFill="1" applyBorder="1" applyAlignment="1" applyProtection="1">
      <alignment horizontal="center" vertical="center"/>
      <protection hidden="1"/>
    </xf>
    <xf numFmtId="0" fontId="20" fillId="3" borderId="21" xfId="0" applyFont="1" applyFill="1" applyBorder="1" applyAlignment="1" applyProtection="1">
      <alignment horizontal="left" vertical="center"/>
      <protection hidden="1"/>
    </xf>
    <xf numFmtId="0" fontId="20" fillId="3" borderId="22" xfId="0" applyFont="1" applyFill="1" applyBorder="1" applyAlignment="1" applyProtection="1">
      <alignment horizontal="left" vertical="center"/>
      <protection hidden="1"/>
    </xf>
    <xf numFmtId="0" fontId="20" fillId="3" borderId="13" xfId="0" applyFont="1" applyFill="1" applyBorder="1" applyAlignment="1" applyProtection="1">
      <alignment horizontal="left" vertical="center"/>
      <protection hidden="1"/>
    </xf>
    <xf numFmtId="0" fontId="105" fillId="2" borderId="10" xfId="0" applyFont="1" applyFill="1" applyBorder="1" applyAlignment="1" applyProtection="1">
      <alignment horizontal="left" vertical="center"/>
      <protection hidden="1"/>
    </xf>
    <xf numFmtId="0" fontId="105" fillId="2" borderId="7" xfId="0" applyFont="1" applyFill="1" applyBorder="1" applyAlignment="1" applyProtection="1">
      <alignment horizontal="left" vertical="center"/>
      <protection hidden="1"/>
    </xf>
    <xf numFmtId="0" fontId="105" fillId="2" borderId="8" xfId="0" applyFont="1" applyFill="1" applyBorder="1" applyAlignment="1" applyProtection="1">
      <alignment horizontal="left" vertical="center"/>
      <protection hidden="1"/>
    </xf>
    <xf numFmtId="0" fontId="72" fillId="7" borderId="4" xfId="0" applyFont="1" applyFill="1" applyBorder="1" applyAlignment="1" applyProtection="1">
      <alignment horizontal="right" vertical="center" wrapText="1"/>
      <protection hidden="1"/>
    </xf>
    <xf numFmtId="0" fontId="72" fillId="2" borderId="4" xfId="0" applyFont="1" applyFill="1" applyBorder="1" applyAlignment="1" applyProtection="1">
      <alignment horizontal="right" vertical="center" wrapText="1"/>
      <protection hidden="1"/>
    </xf>
    <xf numFmtId="0" fontId="10" fillId="2" borderId="21" xfId="0" applyFont="1" applyFill="1" applyBorder="1" applyAlignment="1" applyProtection="1">
      <alignment horizontal="right" vertical="center"/>
      <protection hidden="1"/>
    </xf>
    <xf numFmtId="0" fontId="10" fillId="2" borderId="22" xfId="0" applyFont="1" applyFill="1" applyBorder="1" applyAlignment="1" applyProtection="1">
      <alignment horizontal="right" vertical="center"/>
      <protection hidden="1"/>
    </xf>
    <xf numFmtId="0" fontId="10" fillId="2" borderId="23" xfId="0" applyFont="1" applyFill="1" applyBorder="1" applyAlignment="1" applyProtection="1">
      <alignment horizontal="right" vertical="center"/>
      <protection hidden="1"/>
    </xf>
    <xf numFmtId="164" fontId="17" fillId="2" borderId="11" xfId="0" applyNumberFormat="1" applyFont="1" applyFill="1" applyBorder="1" applyAlignment="1" applyProtection="1">
      <alignment horizontal="center" vertical="center"/>
      <protection hidden="1"/>
    </xf>
    <xf numFmtId="164" fontId="17" fillId="2" borderId="12" xfId="0" applyNumberFormat="1" applyFont="1" applyFill="1" applyBorder="1" applyAlignment="1" applyProtection="1">
      <alignment horizontal="center" vertical="center"/>
      <protection hidden="1"/>
    </xf>
    <xf numFmtId="164" fontId="17" fillId="2" borderId="46" xfId="0" applyNumberFormat="1" applyFont="1" applyFill="1" applyBorder="1" applyAlignment="1" applyProtection="1">
      <alignment horizontal="center" vertical="center"/>
      <protection hidden="1"/>
    </xf>
    <xf numFmtId="0" fontId="10" fillId="2" borderId="24" xfId="0" applyFont="1" applyFill="1" applyBorder="1" applyAlignment="1" applyProtection="1">
      <alignment horizontal="right" vertical="center"/>
      <protection hidden="1"/>
    </xf>
    <xf numFmtId="0" fontId="10" fillId="2" borderId="18" xfId="0" applyFont="1" applyFill="1" applyBorder="1" applyAlignment="1" applyProtection="1">
      <alignment horizontal="right" vertical="center"/>
      <protection hidden="1"/>
    </xf>
    <xf numFmtId="0" fontId="10" fillId="2" borderId="19" xfId="0" applyFont="1" applyFill="1" applyBorder="1" applyAlignment="1" applyProtection="1">
      <alignment horizontal="right" vertical="center"/>
      <protection hidden="1"/>
    </xf>
    <xf numFmtId="164" fontId="17" fillId="2" borderId="15" xfId="0" applyNumberFormat="1" applyFont="1" applyFill="1" applyBorder="1" applyAlignment="1" applyProtection="1">
      <alignment horizontal="center" vertical="center"/>
      <protection hidden="1"/>
    </xf>
    <xf numFmtId="164" fontId="17" fillId="2" borderId="16" xfId="0" applyNumberFormat="1" applyFont="1" applyFill="1" applyBorder="1" applyAlignment="1" applyProtection="1">
      <alignment horizontal="center" vertical="center"/>
      <protection hidden="1"/>
    </xf>
    <xf numFmtId="164" fontId="17" fillId="2" borderId="35" xfId="0" applyNumberFormat="1" applyFont="1" applyFill="1" applyBorder="1" applyAlignment="1" applyProtection="1">
      <alignment horizontal="center" vertical="center"/>
      <protection hidden="1"/>
    </xf>
    <xf numFmtId="0" fontId="10" fillId="2" borderId="50" xfId="0" applyFont="1" applyFill="1" applyBorder="1" applyAlignment="1" applyProtection="1">
      <alignment horizontal="right" vertical="center"/>
      <protection hidden="1"/>
    </xf>
    <xf numFmtId="0" fontId="10" fillId="2" borderId="49" xfId="0" applyFont="1" applyFill="1" applyBorder="1" applyAlignment="1" applyProtection="1">
      <alignment horizontal="right" vertical="center"/>
      <protection hidden="1"/>
    </xf>
    <xf numFmtId="0" fontId="10" fillId="2" borderId="50" xfId="0" applyFont="1" applyFill="1" applyBorder="1" applyAlignment="1" applyProtection="1">
      <alignment horizontal="center" vertical="center"/>
      <protection hidden="1"/>
    </xf>
    <xf numFmtId="0" fontId="10" fillId="2" borderId="69" xfId="0" applyFont="1" applyFill="1" applyBorder="1" applyAlignment="1" applyProtection="1">
      <alignment horizontal="center" vertical="center"/>
      <protection hidden="1"/>
    </xf>
    <xf numFmtId="0" fontId="10" fillId="2" borderId="49" xfId="0" applyFont="1" applyFill="1" applyBorder="1" applyAlignment="1" applyProtection="1">
      <alignment horizontal="center" vertical="center"/>
      <protection hidden="1"/>
    </xf>
    <xf numFmtId="0" fontId="24" fillId="0" borderId="58" xfId="0" applyFont="1" applyFill="1" applyBorder="1" applyAlignment="1" applyProtection="1">
      <alignment horizontal="right" vertical="center"/>
      <protection hidden="1"/>
    </xf>
    <xf numFmtId="0" fontId="24" fillId="0" borderId="5" xfId="0" applyFont="1" applyFill="1" applyBorder="1" applyAlignment="1" applyProtection="1">
      <alignment horizontal="right" vertical="center"/>
      <protection hidden="1"/>
    </xf>
    <xf numFmtId="0" fontId="24" fillId="0" borderId="19" xfId="0" applyFont="1" applyFill="1" applyBorder="1" applyAlignment="1" applyProtection="1">
      <alignment horizontal="right" vertical="center"/>
      <protection hidden="1"/>
    </xf>
    <xf numFmtId="0" fontId="20" fillId="3" borderId="71" xfId="0" applyFont="1" applyFill="1" applyBorder="1" applyAlignment="1" applyProtection="1">
      <alignment horizontal="left" vertical="center"/>
      <protection hidden="1"/>
    </xf>
    <xf numFmtId="0" fontId="20" fillId="3" borderId="72" xfId="0" applyFont="1" applyFill="1" applyBorder="1" applyAlignment="1" applyProtection="1">
      <alignment horizontal="left" vertical="center"/>
      <protection hidden="1"/>
    </xf>
    <xf numFmtId="0" fontId="20" fillId="3" borderId="47" xfId="0" applyFont="1" applyFill="1" applyBorder="1" applyAlignment="1" applyProtection="1">
      <alignment horizontal="left" vertical="center"/>
      <protection hidden="1"/>
    </xf>
    <xf numFmtId="0" fontId="17" fillId="0" borderId="58" xfId="0" applyFont="1" applyFill="1" applyBorder="1" applyAlignment="1" applyProtection="1">
      <alignment horizontal="right" vertical="center"/>
      <protection hidden="1"/>
    </xf>
    <xf numFmtId="0" fontId="17" fillId="0" borderId="5" xfId="0" applyFont="1" applyFill="1" applyBorder="1" applyAlignment="1" applyProtection="1">
      <alignment horizontal="right" vertical="center"/>
      <protection hidden="1"/>
    </xf>
    <xf numFmtId="0" fontId="17" fillId="0" borderId="11" xfId="0" applyFont="1" applyFill="1" applyBorder="1" applyAlignment="1" applyProtection="1">
      <alignment horizontal="left" vertical="center"/>
      <protection hidden="1"/>
    </xf>
    <xf numFmtId="0" fontId="17" fillId="0" borderId="12" xfId="0" applyFont="1" applyFill="1" applyBorder="1" applyAlignment="1" applyProtection="1">
      <alignment horizontal="left" vertical="center"/>
      <protection hidden="1"/>
    </xf>
    <xf numFmtId="0" fontId="17" fillId="0" borderId="46" xfId="0" applyFont="1" applyFill="1" applyBorder="1" applyAlignment="1" applyProtection="1">
      <alignment horizontal="left" vertical="center"/>
      <protection hidden="1"/>
    </xf>
    <xf numFmtId="0" fontId="17" fillId="0" borderId="15" xfId="0" applyFont="1" applyFill="1" applyBorder="1" applyAlignment="1" applyProtection="1">
      <alignment horizontal="right" vertical="center" wrapText="1"/>
      <protection hidden="1"/>
    </xf>
    <xf numFmtId="0" fontId="17" fillId="0" borderId="16" xfId="0" applyFont="1" applyFill="1" applyBorder="1" applyAlignment="1" applyProtection="1">
      <alignment horizontal="right" vertical="center" wrapText="1"/>
      <protection hidden="1"/>
    </xf>
    <xf numFmtId="0" fontId="10" fillId="0" borderId="15" xfId="0" applyFont="1" applyFill="1" applyBorder="1" applyAlignment="1" applyProtection="1">
      <alignment horizontal="left" vertical="top"/>
      <protection hidden="1"/>
    </xf>
    <xf numFmtId="0" fontId="21" fillId="0" borderId="82" xfId="0" applyFont="1" applyBorder="1" applyAlignment="1" applyProtection="1">
      <alignment horizontal="left" vertical="center" wrapText="1" indent="1"/>
      <protection hidden="1"/>
    </xf>
    <xf numFmtId="0" fontId="21" fillId="0" borderId="83" xfId="0" applyFont="1" applyBorder="1" applyAlignment="1" applyProtection="1">
      <alignment horizontal="left" vertical="center" wrapText="1" indent="1"/>
      <protection hidden="1"/>
    </xf>
    <xf numFmtId="0" fontId="21" fillId="0" borderId="15" xfId="0" applyFont="1" applyBorder="1" applyAlignment="1" applyProtection="1">
      <alignment horizontal="left" vertical="center" wrapText="1" indent="1"/>
      <protection hidden="1"/>
    </xf>
    <xf numFmtId="0" fontId="21" fillId="0" borderId="16" xfId="0" applyFont="1" applyBorder="1" applyAlignment="1" applyProtection="1">
      <alignment horizontal="left" vertical="center" wrapText="1" indent="1"/>
      <protection hidden="1"/>
    </xf>
    <xf numFmtId="0" fontId="20" fillId="0" borderId="73" xfId="0" applyFont="1" applyBorder="1" applyAlignment="1" applyProtection="1">
      <alignment horizontal="right" vertical="center" wrapText="1"/>
      <protection hidden="1"/>
    </xf>
    <xf numFmtId="0" fontId="20" fillId="0" borderId="29" xfId="0" applyFont="1" applyBorder="1" applyAlignment="1" applyProtection="1">
      <alignment horizontal="right" vertical="center" wrapText="1"/>
      <protection hidden="1"/>
    </xf>
    <xf numFmtId="0" fontId="20" fillId="0" borderId="25" xfId="0" applyFont="1" applyBorder="1" applyAlignment="1" applyProtection="1">
      <alignment horizontal="right" vertical="center" wrapText="1"/>
      <protection hidden="1"/>
    </xf>
    <xf numFmtId="0" fontId="20" fillId="3" borderId="50" xfId="0" applyFont="1" applyFill="1" applyBorder="1" applyAlignment="1" applyProtection="1">
      <alignment horizontal="left"/>
      <protection hidden="1"/>
    </xf>
    <xf numFmtId="0" fontId="20" fillId="3" borderId="49" xfId="0" applyFont="1" applyFill="1" applyBorder="1" applyAlignment="1" applyProtection="1">
      <alignment horizontal="left"/>
      <protection hidden="1"/>
    </xf>
    <xf numFmtId="0" fontId="20" fillId="3" borderId="69" xfId="0" applyFont="1" applyFill="1" applyBorder="1" applyAlignment="1" applyProtection="1">
      <alignment horizontal="left"/>
      <protection hidden="1"/>
    </xf>
    <xf numFmtId="0" fontId="20" fillId="3" borderId="50" xfId="0" applyFont="1" applyFill="1" applyBorder="1" applyAlignment="1" applyProtection="1">
      <alignment horizontal="left" wrapText="1"/>
      <protection hidden="1"/>
    </xf>
    <xf numFmtId="0" fontId="20" fillId="3" borderId="49" xfId="0" applyFont="1" applyFill="1" applyBorder="1" applyAlignment="1" applyProtection="1">
      <alignment horizontal="left" wrapText="1"/>
      <protection hidden="1"/>
    </xf>
    <xf numFmtId="0" fontId="20" fillId="3" borderId="69" xfId="0" applyFont="1" applyFill="1" applyBorder="1" applyAlignment="1" applyProtection="1">
      <alignment horizontal="left" wrapText="1"/>
      <protection hidden="1"/>
    </xf>
    <xf numFmtId="0" fontId="20" fillId="0" borderId="102" xfId="0" applyFont="1" applyBorder="1" applyAlignment="1" applyProtection="1">
      <alignment horizontal="left" wrapText="1" indent="1"/>
      <protection hidden="1"/>
    </xf>
    <xf numFmtId="0" fontId="20" fillId="0" borderId="98" xfId="0" applyFont="1" applyBorder="1" applyAlignment="1" applyProtection="1">
      <alignment horizontal="left" wrapText="1" indent="1"/>
      <protection hidden="1"/>
    </xf>
    <xf numFmtId="0" fontId="11" fillId="0" borderId="58" xfId="0" applyFont="1" applyBorder="1" applyAlignment="1" applyProtection="1">
      <alignment horizontal="left" vertical="center" wrapText="1" indent="3"/>
      <protection hidden="1"/>
    </xf>
    <xf numFmtId="0" fontId="11" fillId="0" borderId="5" xfId="0" applyFont="1" applyBorder="1" applyAlignment="1" applyProtection="1">
      <alignment horizontal="left" vertical="center" wrapText="1" indent="3"/>
      <protection hidden="1"/>
    </xf>
    <xf numFmtId="0" fontId="11" fillId="0" borderId="74" xfId="0" applyFont="1" applyBorder="1" applyAlignment="1" applyProtection="1">
      <alignment horizontal="left" vertical="center" wrapText="1" indent="3"/>
      <protection hidden="1"/>
    </xf>
    <xf numFmtId="0" fontId="11" fillId="0" borderId="75" xfId="0" applyFont="1" applyBorder="1" applyAlignment="1" applyProtection="1">
      <alignment horizontal="left" vertical="center" wrapText="1" indent="3"/>
      <protection hidden="1"/>
    </xf>
    <xf numFmtId="0" fontId="11" fillId="0" borderId="6" xfId="0" applyFont="1" applyBorder="1" applyAlignment="1" applyProtection="1">
      <alignment horizontal="left" vertical="center" wrapText="1" indent="3"/>
      <protection hidden="1"/>
    </xf>
    <xf numFmtId="0" fontId="11" fillId="0" borderId="2" xfId="0" applyFont="1" applyBorder="1" applyAlignment="1" applyProtection="1">
      <alignment horizontal="left" vertical="center" wrapText="1" indent="3"/>
      <protection hidden="1"/>
    </xf>
    <xf numFmtId="0" fontId="17" fillId="0" borderId="4" xfId="0" applyFont="1" applyFill="1" applyBorder="1" applyAlignment="1" applyProtection="1">
      <alignment horizontal="left" vertical="center"/>
      <protection locked="0"/>
    </xf>
    <xf numFmtId="0" fontId="58" fillId="0" borderId="11" xfId="0" applyFont="1" applyBorder="1" applyAlignment="1" applyProtection="1">
      <alignment horizontal="center" vertical="center"/>
      <protection hidden="1"/>
    </xf>
    <xf numFmtId="168" fontId="132" fillId="0" borderId="1" xfId="0" applyNumberFormat="1" applyFont="1" applyBorder="1" applyAlignment="1" applyProtection="1">
      <alignment horizontal="right" vertical="center" wrapText="1"/>
      <protection locked="0"/>
    </xf>
    <xf numFmtId="168" fontId="132" fillId="0" borderId="2" xfId="0" applyNumberFormat="1" applyFont="1" applyBorder="1" applyAlignment="1" applyProtection="1">
      <alignment horizontal="right" vertical="center" wrapText="1"/>
      <protection locked="0"/>
    </xf>
    <xf numFmtId="0" fontId="136" fillId="6" borderId="44" xfId="1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56" fillId="0" borderId="4" xfId="0" applyFont="1" applyBorder="1" applyAlignment="1" applyProtection="1">
      <alignment horizontal="center" vertical="center"/>
      <protection locked="0"/>
    </xf>
    <xf numFmtId="0" fontId="56" fillId="0" borderId="4" xfId="0" applyFont="1" applyFill="1" applyBorder="1" applyAlignment="1" applyProtection="1">
      <alignment horizontal="center" vertical="center" shrinkToFit="1"/>
      <protection locked="0"/>
    </xf>
    <xf numFmtId="0" fontId="136" fillId="6" borderId="52" xfId="1" applyFont="1" applyFill="1" applyBorder="1" applyAlignment="1" applyProtection="1">
      <alignment horizontal="left" vertical="center"/>
      <protection hidden="1"/>
    </xf>
    <xf numFmtId="0" fontId="138" fillId="6" borderId="52" xfId="1" applyFont="1" applyFill="1" applyBorder="1" applyAlignment="1" applyProtection="1">
      <alignment horizontal="left" vertical="center" wrapText="1"/>
      <protection hidden="1"/>
    </xf>
    <xf numFmtId="0" fontId="138" fillId="6" borderId="44" xfId="1" applyFont="1" applyFill="1" applyBorder="1" applyAlignment="1" applyProtection="1">
      <alignment horizontal="left" vertical="center" wrapText="1"/>
      <protection hidden="1"/>
    </xf>
    <xf numFmtId="0" fontId="136" fillId="6" borderId="53" xfId="1" applyFont="1" applyFill="1" applyBorder="1" applyAlignment="1" applyProtection="1">
      <alignment horizontal="center" vertical="center" wrapText="1"/>
      <protection hidden="1"/>
    </xf>
    <xf numFmtId="0" fontId="136" fillId="6" borderId="56" xfId="1" applyFont="1" applyFill="1" applyBorder="1" applyAlignment="1" applyProtection="1">
      <alignment horizontal="center" vertical="center" wrapText="1"/>
      <protection hidden="1"/>
    </xf>
    <xf numFmtId="0" fontId="69" fillId="6" borderId="51" xfId="0" applyFont="1" applyFill="1" applyBorder="1" applyAlignment="1" applyProtection="1">
      <alignment horizontal="right" vertical="center"/>
      <protection hidden="1"/>
    </xf>
    <xf numFmtId="0" fontId="69" fillId="6" borderId="52" xfId="0" applyFont="1" applyFill="1" applyBorder="1" applyAlignment="1" applyProtection="1">
      <alignment horizontal="right" vertical="center"/>
      <protection hidden="1"/>
    </xf>
    <xf numFmtId="0" fontId="69" fillId="6" borderId="43" xfId="0" applyFont="1" applyFill="1" applyBorder="1" applyAlignment="1" applyProtection="1">
      <alignment horizontal="right" vertical="center"/>
      <protection hidden="1"/>
    </xf>
    <xf numFmtId="0" fontId="69" fillId="6" borderId="44" xfId="0" applyFont="1" applyFill="1" applyBorder="1" applyAlignment="1" applyProtection="1">
      <alignment horizontal="right" vertical="center"/>
      <protection hidden="1"/>
    </xf>
    <xf numFmtId="0" fontId="136" fillId="6" borderId="52" xfId="1" applyFont="1" applyFill="1" applyBorder="1" applyAlignment="1" applyProtection="1">
      <alignment horizontal="center" vertical="center"/>
      <protection hidden="1"/>
    </xf>
    <xf numFmtId="0" fontId="136" fillId="6" borderId="44" xfId="1" applyFont="1" applyFill="1" applyBorder="1" applyAlignment="1" applyProtection="1">
      <alignment horizontal="center" vertical="center"/>
      <protection hidden="1"/>
    </xf>
    <xf numFmtId="0" fontId="12" fillId="6" borderId="44" xfId="1" applyFont="1" applyFill="1" applyBorder="1" applyAlignment="1" applyProtection="1">
      <alignment horizontal="left" vertical="center" wrapText="1"/>
      <protection hidden="1"/>
    </xf>
    <xf numFmtId="0" fontId="51" fillId="0" borderId="0" xfId="0" applyFont="1" applyFill="1" applyBorder="1" applyAlignment="1" applyProtection="1">
      <alignment horizontal="center"/>
      <protection hidden="1"/>
    </xf>
    <xf numFmtId="0" fontId="62" fillId="0" borderId="0" xfId="0" applyFont="1" applyFill="1" applyBorder="1" applyAlignment="1" applyProtection="1">
      <alignment horizontal="right" vertical="center" wrapText="1" indent="1"/>
    </xf>
    <xf numFmtId="0" fontId="62" fillId="0" borderId="0" xfId="0" applyFont="1" applyBorder="1" applyAlignment="1" applyProtection="1">
      <alignment horizontal="right" vertical="center" indent="1"/>
      <protection hidden="1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49" fontId="132" fillId="0" borderId="1" xfId="0" applyNumberFormat="1" applyFont="1" applyBorder="1" applyAlignment="1" applyProtection="1">
      <alignment horizontal="right" vertical="center" wrapText="1"/>
      <protection locked="0"/>
    </xf>
    <xf numFmtId="49" fontId="132" fillId="0" borderId="2" xfId="0" applyNumberFormat="1" applyFont="1" applyBorder="1" applyAlignment="1" applyProtection="1">
      <alignment horizontal="right" vertical="center" wrapText="1"/>
      <protection locked="0"/>
    </xf>
    <xf numFmtId="0" fontId="56" fillId="0" borderId="4" xfId="0" applyFont="1" applyBorder="1" applyAlignment="1" applyProtection="1">
      <alignment horizontal="center" vertical="center" shrinkToFit="1"/>
      <protection locked="0"/>
    </xf>
    <xf numFmtId="0" fontId="12" fillId="6" borderId="52" xfId="1" applyFont="1" applyFill="1" applyBorder="1" applyAlignment="1" applyProtection="1">
      <alignment horizontal="left" vertical="center"/>
      <protection hidden="1"/>
    </xf>
    <xf numFmtId="0" fontId="76" fillId="6" borderId="51" xfId="0" applyFont="1" applyFill="1" applyBorder="1" applyAlignment="1" applyProtection="1">
      <alignment horizontal="right" vertical="center"/>
      <protection hidden="1"/>
    </xf>
    <xf numFmtId="0" fontId="76" fillId="6" borderId="52" xfId="0" applyFont="1" applyFill="1" applyBorder="1" applyAlignment="1" applyProtection="1">
      <alignment horizontal="right" vertical="center"/>
      <protection hidden="1"/>
    </xf>
    <xf numFmtId="0" fontId="76" fillId="6" borderId="43" xfId="0" applyFont="1" applyFill="1" applyBorder="1" applyAlignment="1" applyProtection="1">
      <alignment horizontal="right" vertical="center"/>
      <protection hidden="1"/>
    </xf>
    <xf numFmtId="0" fontId="76" fillId="6" borderId="44" xfId="0" applyFont="1" applyFill="1" applyBorder="1" applyAlignment="1" applyProtection="1">
      <alignment horizontal="right" vertical="center"/>
      <protection hidden="1"/>
    </xf>
    <xf numFmtId="0" fontId="12" fillId="6" borderId="52" xfId="1" applyFont="1" applyFill="1" applyBorder="1" applyAlignment="1" applyProtection="1">
      <alignment horizontal="center" vertical="center"/>
      <protection hidden="1"/>
    </xf>
    <xf numFmtId="0" fontId="12" fillId="6" borderId="44" xfId="1" applyFont="1" applyFill="1" applyBorder="1" applyAlignment="1" applyProtection="1">
      <alignment horizontal="center" vertical="center"/>
      <protection hidden="1"/>
    </xf>
    <xf numFmtId="0" fontId="12" fillId="6" borderId="53" xfId="1" applyFont="1" applyFill="1" applyBorder="1" applyAlignment="1" applyProtection="1">
      <alignment horizontal="center" vertical="center" wrapText="1"/>
      <protection hidden="1"/>
    </xf>
    <xf numFmtId="0" fontId="12" fillId="6" borderId="56" xfId="1" applyFont="1" applyFill="1" applyBorder="1" applyAlignment="1" applyProtection="1">
      <alignment horizontal="center" vertical="center" wrapText="1"/>
      <protection hidden="1"/>
    </xf>
    <xf numFmtId="0" fontId="119" fillId="6" borderId="52" xfId="1" applyFont="1" applyFill="1" applyBorder="1" applyAlignment="1" applyProtection="1">
      <alignment horizontal="left" vertical="center" wrapText="1"/>
      <protection hidden="1"/>
    </xf>
    <xf numFmtId="0" fontId="119" fillId="6" borderId="44" xfId="1" applyFont="1" applyFill="1" applyBorder="1" applyAlignment="1" applyProtection="1">
      <alignment horizontal="left" vertical="center" wrapText="1"/>
      <protection hidden="1"/>
    </xf>
    <xf numFmtId="0" fontId="27" fillId="9" borderId="0" xfId="0" applyFont="1" applyFill="1" applyBorder="1" applyAlignment="1" applyProtection="1">
      <alignment horizontal="right" vertical="center" indent="1"/>
      <protection hidden="1"/>
    </xf>
    <xf numFmtId="0" fontId="13" fillId="3" borderId="50" xfId="0" applyFont="1" applyFill="1" applyBorder="1" applyAlignment="1" applyProtection="1">
      <alignment horizontal="left" vertical="center"/>
      <protection hidden="1"/>
    </xf>
    <xf numFmtId="0" fontId="13" fillId="3" borderId="49" xfId="0" applyFont="1" applyFill="1" applyBorder="1" applyAlignment="1" applyProtection="1">
      <alignment horizontal="left" vertical="center"/>
      <protection hidden="1"/>
    </xf>
    <xf numFmtId="0" fontId="13" fillId="3" borderId="69" xfId="0" applyFont="1" applyFill="1" applyBorder="1" applyAlignment="1" applyProtection="1">
      <alignment horizontal="left" vertical="center"/>
      <protection hidden="1"/>
    </xf>
    <xf numFmtId="0" fontId="22" fillId="0" borderId="58" xfId="0" applyFont="1" applyBorder="1" applyAlignment="1" applyProtection="1">
      <alignment horizontal="left" vertical="center" wrapText="1" indent="1"/>
      <protection hidden="1"/>
    </xf>
    <xf numFmtId="0" fontId="22" fillId="0" borderId="5" xfId="0" applyFont="1" applyBorder="1" applyAlignment="1" applyProtection="1">
      <alignment horizontal="left" vertical="center" wrapText="1" indent="1"/>
      <protection hidden="1"/>
    </xf>
    <xf numFmtId="0" fontId="22" fillId="0" borderId="40" xfId="0" applyFont="1" applyBorder="1" applyAlignment="1" applyProtection="1">
      <alignment horizontal="left" vertical="center" wrapText="1" indent="1"/>
      <protection hidden="1"/>
    </xf>
    <xf numFmtId="0" fontId="22" fillId="0" borderId="7" xfId="0" applyFont="1" applyBorder="1" applyAlignment="1" applyProtection="1">
      <alignment horizontal="left" vertical="center" wrapText="1" indent="1"/>
      <protection hidden="1"/>
    </xf>
    <xf numFmtId="0" fontId="22" fillId="0" borderId="102" xfId="0" applyFont="1" applyBorder="1" applyAlignment="1" applyProtection="1">
      <alignment horizontal="left" vertical="center" wrapText="1" indent="1"/>
      <protection hidden="1"/>
    </xf>
    <xf numFmtId="0" fontId="22" fillId="0" borderId="98" xfId="0" applyFont="1" applyBorder="1" applyAlignment="1" applyProtection="1">
      <alignment horizontal="left" vertical="center" wrapText="1" indent="1"/>
      <protection hidden="1"/>
    </xf>
    <xf numFmtId="0" fontId="22" fillId="0" borderId="82" xfId="0" applyFont="1" applyBorder="1" applyAlignment="1" applyProtection="1">
      <alignment horizontal="left" vertical="center" wrapText="1" indent="3"/>
      <protection hidden="1"/>
    </xf>
    <xf numFmtId="0" fontId="22" fillId="0" borderId="83" xfId="0" applyFont="1" applyBorder="1" applyAlignment="1" applyProtection="1">
      <alignment horizontal="left" vertical="center" wrapText="1" indent="3"/>
      <protection hidden="1"/>
    </xf>
    <xf numFmtId="0" fontId="22" fillId="0" borderId="74" xfId="0" applyFont="1" applyBorder="1" applyAlignment="1" applyProtection="1">
      <alignment horizontal="left" vertical="center" wrapText="1" indent="3"/>
      <protection hidden="1"/>
    </xf>
    <xf numFmtId="0" fontId="22" fillId="0" borderId="75" xfId="0" applyFont="1" applyBorder="1" applyAlignment="1" applyProtection="1">
      <alignment horizontal="left" vertical="center" wrapText="1" indent="3"/>
      <protection hidden="1"/>
    </xf>
    <xf numFmtId="0" fontId="132" fillId="3" borderId="50" xfId="0" applyFont="1" applyFill="1" applyBorder="1" applyAlignment="1" applyProtection="1">
      <alignment horizontal="left" vertical="center" wrapText="1"/>
      <protection hidden="1"/>
    </xf>
    <xf numFmtId="0" fontId="132" fillId="3" borderId="49" xfId="0" applyFont="1" applyFill="1" applyBorder="1" applyAlignment="1" applyProtection="1">
      <alignment horizontal="left" vertical="center" wrapText="1"/>
      <protection hidden="1"/>
    </xf>
    <xf numFmtId="0" fontId="132" fillId="3" borderId="69" xfId="0" applyFont="1" applyFill="1" applyBorder="1" applyAlignment="1" applyProtection="1">
      <alignment horizontal="left" vertical="center" wrapText="1"/>
      <protection hidden="1"/>
    </xf>
    <xf numFmtId="0" fontId="20" fillId="0" borderId="50" xfId="0" applyFont="1" applyBorder="1" applyAlignment="1" applyProtection="1">
      <alignment horizontal="right" vertical="center"/>
      <protection hidden="1"/>
    </xf>
    <xf numFmtId="0" fontId="20" fillId="0" borderId="49" xfId="0" applyFont="1" applyBorder="1" applyAlignment="1" applyProtection="1">
      <alignment horizontal="right" vertical="center"/>
      <protection hidden="1"/>
    </xf>
    <xf numFmtId="0" fontId="73" fillId="0" borderId="49" xfId="0" applyNumberFormat="1" applyFont="1" applyBorder="1" applyAlignment="1" applyProtection="1">
      <alignment horizontal="left" vertical="center" indent="1"/>
      <protection hidden="1"/>
    </xf>
    <xf numFmtId="0" fontId="75" fillId="0" borderId="49" xfId="0" applyNumberFormat="1" applyFont="1" applyBorder="1" applyAlignment="1" applyProtection="1">
      <alignment horizontal="center" vertical="center" wrapText="1"/>
      <protection hidden="1"/>
    </xf>
    <xf numFmtId="0" fontId="75" fillId="0" borderId="49" xfId="0" applyNumberFormat="1" applyFont="1" applyBorder="1" applyAlignment="1" applyProtection="1">
      <alignment horizontal="center" vertical="center"/>
      <protection hidden="1"/>
    </xf>
    <xf numFmtId="0" fontId="22" fillId="0" borderId="74" xfId="0" applyFont="1" applyBorder="1" applyAlignment="1" applyProtection="1">
      <alignment horizontal="left" vertical="center" wrapText="1" indent="1"/>
      <protection hidden="1"/>
    </xf>
    <xf numFmtId="0" fontId="22" fillId="0" borderId="75" xfId="0" applyFont="1" applyBorder="1" applyAlignment="1" applyProtection="1">
      <alignment horizontal="left" vertical="center" wrapText="1" indent="1"/>
      <protection hidden="1"/>
    </xf>
    <xf numFmtId="0" fontId="61" fillId="0" borderId="50" xfId="0" applyFont="1" applyBorder="1" applyAlignment="1" applyProtection="1">
      <alignment horizontal="center" vertical="center" wrapText="1"/>
      <protection hidden="1"/>
    </xf>
    <xf numFmtId="0" fontId="61" fillId="0" borderId="69" xfId="0" applyFont="1" applyBorder="1" applyAlignment="1" applyProtection="1">
      <alignment horizontal="center" vertical="center" wrapText="1"/>
      <protection hidden="1"/>
    </xf>
    <xf numFmtId="0" fontId="61" fillId="0" borderId="50" xfId="0" applyFont="1" applyBorder="1" applyAlignment="1" applyProtection="1">
      <alignment horizontal="center" vertical="center"/>
      <protection hidden="1"/>
    </xf>
    <xf numFmtId="0" fontId="61" fillId="0" borderId="69" xfId="0" applyFont="1" applyBorder="1" applyAlignment="1" applyProtection="1">
      <alignment horizontal="center" vertical="center"/>
      <protection hidden="1"/>
    </xf>
    <xf numFmtId="164" fontId="20" fillId="0" borderId="11" xfId="0" applyNumberFormat="1" applyFont="1" applyBorder="1" applyAlignment="1" applyProtection="1">
      <alignment horizontal="center" vertical="center" wrapText="1"/>
      <protection hidden="1"/>
    </xf>
    <xf numFmtId="164" fontId="20" fillId="0" borderId="46" xfId="0" applyNumberFormat="1" applyFont="1" applyBorder="1" applyAlignment="1" applyProtection="1">
      <alignment horizontal="center" vertical="center" wrapText="1"/>
      <protection hidden="1"/>
    </xf>
    <xf numFmtId="164" fontId="20" fillId="0" borderId="74" xfId="0" applyNumberFormat="1" applyFont="1" applyBorder="1" applyAlignment="1" applyProtection="1">
      <alignment horizontal="center" vertical="center" wrapText="1"/>
      <protection hidden="1"/>
    </xf>
    <xf numFmtId="164" fontId="20" fillId="0" borderId="92" xfId="0" applyNumberFormat="1" applyFont="1" applyBorder="1" applyAlignment="1" applyProtection="1">
      <alignment horizontal="center" vertical="center" wrapText="1"/>
      <protection hidden="1"/>
    </xf>
    <xf numFmtId="164" fontId="20" fillId="0" borderId="82" xfId="0" applyNumberFormat="1" applyFont="1" applyBorder="1" applyAlignment="1" applyProtection="1">
      <alignment horizontal="center" vertical="center" wrapText="1"/>
      <protection hidden="1"/>
    </xf>
    <xf numFmtId="164" fontId="20" fillId="0" borderId="93" xfId="0" applyNumberFormat="1" applyFont="1" applyBorder="1" applyAlignment="1" applyProtection="1">
      <alignment horizontal="center" vertical="center" wrapText="1"/>
      <protection hidden="1"/>
    </xf>
    <xf numFmtId="164" fontId="20" fillId="0" borderId="15" xfId="0" applyNumberFormat="1" applyFont="1" applyBorder="1" applyAlignment="1" applyProtection="1">
      <alignment horizontal="center" vertical="center" wrapText="1"/>
      <protection hidden="1"/>
    </xf>
    <xf numFmtId="164" fontId="20" fillId="0" borderId="35" xfId="0" applyNumberFormat="1" applyFont="1" applyBorder="1" applyAlignment="1" applyProtection="1">
      <alignment horizontal="center" vertical="center" wrapText="1"/>
      <protection hidden="1"/>
    </xf>
    <xf numFmtId="0" fontId="22" fillId="0" borderId="58" xfId="0" applyFont="1" applyBorder="1" applyAlignment="1" applyProtection="1">
      <alignment horizontal="left" vertical="center" wrapText="1" indent="3"/>
      <protection hidden="1"/>
    </xf>
    <xf numFmtId="0" fontId="22" fillId="0" borderId="5" xfId="0" applyFont="1" applyBorder="1" applyAlignment="1" applyProtection="1">
      <alignment horizontal="left" vertical="center" wrapText="1" indent="3"/>
      <protection hidden="1"/>
    </xf>
    <xf numFmtId="0" fontId="22" fillId="0" borderId="6" xfId="0" applyFont="1" applyBorder="1" applyAlignment="1" applyProtection="1">
      <alignment horizontal="left" vertical="center" wrapText="1" indent="3"/>
      <protection hidden="1"/>
    </xf>
    <xf numFmtId="0" fontId="22" fillId="0" borderId="2" xfId="0" applyFont="1" applyBorder="1" applyAlignment="1" applyProtection="1">
      <alignment horizontal="left" vertical="center" wrapText="1" indent="3"/>
      <protection hidden="1"/>
    </xf>
    <xf numFmtId="0" fontId="51" fillId="2" borderId="21" xfId="0" applyFont="1" applyFill="1" applyBorder="1" applyAlignment="1" applyProtection="1">
      <alignment horizontal="right" vertical="center"/>
      <protection hidden="1"/>
    </xf>
    <xf numFmtId="0" fontId="51" fillId="2" borderId="22" xfId="0" applyFont="1" applyFill="1" applyBorder="1" applyAlignment="1" applyProtection="1">
      <alignment horizontal="right" vertical="center"/>
      <protection hidden="1"/>
    </xf>
    <xf numFmtId="0" fontId="51" fillId="2" borderId="13" xfId="0" applyFont="1" applyFill="1" applyBorder="1" applyAlignment="1" applyProtection="1">
      <alignment horizontal="right" vertical="center"/>
      <protection hidden="1"/>
    </xf>
    <xf numFmtId="164" fontId="20" fillId="2" borderId="12" xfId="0" applyNumberFormat="1" applyFont="1" applyFill="1" applyBorder="1" applyAlignment="1" applyProtection="1">
      <alignment horizontal="center" vertical="center"/>
      <protection hidden="1"/>
    </xf>
    <xf numFmtId="164" fontId="155" fillId="0" borderId="6" xfId="0" applyNumberFormat="1" applyFont="1" applyBorder="1" applyAlignment="1" applyProtection="1">
      <alignment horizontal="center" vertical="center" wrapText="1"/>
      <protection hidden="1"/>
    </xf>
    <xf numFmtId="164" fontId="155" fillId="0" borderId="2" xfId="0" applyNumberFormat="1" applyFont="1" applyBorder="1" applyAlignment="1" applyProtection="1">
      <alignment horizontal="center" vertical="center" wrapText="1"/>
      <protection hidden="1"/>
    </xf>
    <xf numFmtId="164" fontId="155" fillId="0" borderId="74" xfId="0" applyNumberFormat="1" applyFont="1" applyBorder="1" applyAlignment="1" applyProtection="1">
      <alignment horizontal="center" vertical="center" wrapText="1"/>
      <protection hidden="1"/>
    </xf>
    <xf numFmtId="164" fontId="155" fillId="0" borderId="75" xfId="0" applyNumberFormat="1" applyFont="1" applyBorder="1" applyAlignment="1" applyProtection="1">
      <alignment horizontal="center" vertical="center" wrapText="1"/>
      <protection hidden="1"/>
    </xf>
    <xf numFmtId="164" fontId="20" fillId="0" borderId="83" xfId="0" applyNumberFormat="1" applyFont="1" applyBorder="1" applyAlignment="1" applyProtection="1">
      <alignment horizontal="center" vertical="center" wrapText="1"/>
      <protection hidden="1"/>
    </xf>
    <xf numFmtId="164" fontId="20" fillId="0" borderId="6" xfId="0" applyNumberFormat="1" applyFont="1" applyBorder="1" applyAlignment="1" applyProtection="1">
      <alignment horizontal="center" vertical="center" wrapText="1"/>
      <protection hidden="1"/>
    </xf>
    <xf numFmtId="164" fontId="20" fillId="0" borderId="2" xfId="0" applyNumberFormat="1" applyFont="1" applyBorder="1" applyAlignment="1" applyProtection="1">
      <alignment horizontal="center" vertical="center" wrapText="1"/>
      <protection hidden="1"/>
    </xf>
    <xf numFmtId="164" fontId="20" fillId="0" borderId="75" xfId="0" applyNumberFormat="1" applyFont="1" applyBorder="1" applyAlignment="1" applyProtection="1">
      <alignment horizontal="center" vertical="center" wrapText="1"/>
      <protection hidden="1"/>
    </xf>
    <xf numFmtId="0" fontId="22" fillId="0" borderId="6" xfId="0" applyFont="1" applyBorder="1" applyAlignment="1" applyProtection="1">
      <alignment horizontal="left" vertical="center" wrapText="1" indent="1"/>
      <protection hidden="1"/>
    </xf>
    <xf numFmtId="0" fontId="22" fillId="0" borderId="2" xfId="0" applyFont="1" applyBorder="1" applyAlignment="1" applyProtection="1">
      <alignment horizontal="left" vertical="center" wrapText="1" indent="1"/>
      <protection hidden="1"/>
    </xf>
    <xf numFmtId="0" fontId="22" fillId="0" borderId="79" xfId="0" applyFont="1" applyBorder="1" applyAlignment="1" applyProtection="1">
      <alignment horizontal="left" vertical="center" wrapText="1" indent="1"/>
      <protection hidden="1"/>
    </xf>
    <xf numFmtId="0" fontId="22" fillId="0" borderId="77" xfId="0" applyFont="1" applyBorder="1" applyAlignment="1" applyProtection="1">
      <alignment horizontal="left" vertical="center" wrapText="1" indent="1"/>
      <protection hidden="1"/>
    </xf>
    <xf numFmtId="0" fontId="22" fillId="0" borderId="80" xfId="0" applyFont="1" applyBorder="1" applyAlignment="1" applyProtection="1">
      <alignment horizontal="left" vertical="center" wrapText="1" indent="1"/>
      <protection hidden="1"/>
    </xf>
    <xf numFmtId="0" fontId="51" fillId="2" borderId="24" xfId="0" applyFont="1" applyFill="1" applyBorder="1" applyAlignment="1" applyProtection="1">
      <alignment horizontal="right" vertical="center"/>
      <protection hidden="1"/>
    </xf>
    <xf numFmtId="0" fontId="51" fillId="2" borderId="18" xfId="0" applyFont="1" applyFill="1" applyBorder="1" applyAlignment="1" applyProtection="1">
      <alignment horizontal="right" vertical="center"/>
      <protection hidden="1"/>
    </xf>
    <xf numFmtId="0" fontId="51" fillId="2" borderId="20" xfId="0" applyFont="1" applyFill="1" applyBorder="1" applyAlignment="1" applyProtection="1">
      <alignment horizontal="right" vertical="center"/>
      <protection hidden="1"/>
    </xf>
    <xf numFmtId="164" fontId="20" fillId="2" borderId="16" xfId="0" applyNumberFormat="1" applyFont="1" applyFill="1" applyBorder="1" applyAlignment="1" applyProtection="1">
      <alignment horizontal="center" vertical="center"/>
      <protection hidden="1"/>
    </xf>
    <xf numFmtId="0" fontId="17" fillId="2" borderId="11" xfId="0" applyFont="1" applyFill="1" applyBorder="1" applyAlignment="1" applyProtection="1">
      <alignment horizontal="right" vertical="center"/>
      <protection hidden="1"/>
    </xf>
    <xf numFmtId="0" fontId="17" fillId="2" borderId="12" xfId="0" applyFont="1" applyFill="1" applyBorder="1" applyAlignment="1" applyProtection="1">
      <alignment horizontal="right" vertical="center"/>
      <protection hidden="1"/>
    </xf>
    <xf numFmtId="0" fontId="22" fillId="0" borderId="73" xfId="0" applyFont="1" applyBorder="1" applyAlignment="1" applyProtection="1">
      <alignment horizontal="left" vertical="center" wrapText="1" indent="1"/>
      <protection hidden="1"/>
    </xf>
    <xf numFmtId="0" fontId="22" fillId="0" borderId="29" xfId="0" applyFont="1" applyBorder="1" applyAlignment="1" applyProtection="1">
      <alignment horizontal="left" vertical="center" wrapText="1" indent="1"/>
      <protection hidden="1"/>
    </xf>
    <xf numFmtId="0" fontId="22" fillId="0" borderId="25" xfId="0" applyFont="1" applyBorder="1" applyAlignment="1" applyProtection="1">
      <alignment horizontal="left" vertical="center" wrapText="1" indent="1"/>
      <protection hidden="1"/>
    </xf>
    <xf numFmtId="0" fontId="22" fillId="0" borderId="15" xfId="0" applyFont="1" applyBorder="1" applyAlignment="1" applyProtection="1">
      <alignment horizontal="left" vertical="center" wrapText="1" indent="1"/>
      <protection hidden="1"/>
    </xf>
    <xf numFmtId="0" fontId="22" fillId="0" borderId="16" xfId="0" applyFont="1" applyBorder="1" applyAlignment="1" applyProtection="1">
      <alignment horizontal="left" vertical="center" wrapText="1" indent="1"/>
      <protection hidden="1"/>
    </xf>
    <xf numFmtId="0" fontId="153" fillId="0" borderId="73" xfId="0" applyFont="1" applyBorder="1" applyAlignment="1" applyProtection="1">
      <alignment horizontal="right" vertical="center" wrapText="1"/>
      <protection hidden="1"/>
    </xf>
    <xf numFmtId="0" fontId="153" fillId="0" borderId="29" xfId="0" applyFont="1" applyBorder="1" applyAlignment="1" applyProtection="1">
      <alignment horizontal="right" vertical="center" wrapText="1"/>
      <protection hidden="1"/>
    </xf>
    <xf numFmtId="0" fontId="153" fillId="0" borderId="25" xfId="0" applyFont="1" applyBorder="1" applyAlignment="1" applyProtection="1">
      <alignment horizontal="right" vertical="center" wrapText="1"/>
      <protection hidden="1"/>
    </xf>
    <xf numFmtId="0" fontId="153" fillId="0" borderId="70" xfId="0" applyFont="1" applyBorder="1" applyAlignment="1" applyProtection="1">
      <alignment horizontal="right" vertical="center"/>
      <protection hidden="1"/>
    </xf>
    <xf numFmtId="0" fontId="153" fillId="0" borderId="9" xfId="0" applyFont="1" applyBorder="1" applyAlignment="1" applyProtection="1">
      <alignment horizontal="right" vertical="center"/>
      <protection hidden="1"/>
    </xf>
    <xf numFmtId="0" fontId="153" fillId="0" borderId="10" xfId="0" applyFont="1" applyBorder="1" applyAlignment="1" applyProtection="1">
      <alignment horizontal="right" vertical="center"/>
      <protection hidden="1"/>
    </xf>
    <xf numFmtId="0" fontId="152" fillId="0" borderId="21" xfId="0" applyFont="1" applyBorder="1" applyAlignment="1" applyProtection="1">
      <alignment horizontal="right" vertical="center" wrapText="1"/>
      <protection hidden="1"/>
    </xf>
    <xf numFmtId="0" fontId="152" fillId="0" borderId="22" xfId="0" applyFont="1" applyBorder="1" applyAlignment="1" applyProtection="1">
      <alignment horizontal="right" vertical="center" wrapText="1"/>
      <protection hidden="1"/>
    </xf>
    <xf numFmtId="0" fontId="152" fillId="0" borderId="23" xfId="0" applyFont="1" applyBorder="1" applyAlignment="1" applyProtection="1">
      <alignment horizontal="right" vertical="center" wrapText="1"/>
      <protection hidden="1"/>
    </xf>
    <xf numFmtId="0" fontId="152" fillId="0" borderId="24" xfId="0" applyFont="1" applyBorder="1" applyAlignment="1" applyProtection="1">
      <alignment horizontal="right" vertical="center"/>
      <protection hidden="1"/>
    </xf>
    <xf numFmtId="0" fontId="152" fillId="0" borderId="18" xfId="0" applyFont="1" applyBorder="1" applyAlignment="1" applyProtection="1">
      <alignment horizontal="right" vertical="center"/>
      <protection hidden="1"/>
    </xf>
    <xf numFmtId="0" fontId="152" fillId="0" borderId="19" xfId="0" applyFont="1" applyBorder="1" applyAlignment="1" applyProtection="1">
      <alignment horizontal="right" vertical="center"/>
      <protection hidden="1"/>
    </xf>
    <xf numFmtId="164" fontId="152" fillId="0" borderId="11" xfId="0" applyNumberFormat="1" applyFont="1" applyBorder="1" applyAlignment="1" applyProtection="1">
      <alignment horizontal="center" vertical="center"/>
      <protection hidden="1"/>
    </xf>
    <xf numFmtId="164" fontId="152" fillId="0" borderId="12" xfId="0" applyNumberFormat="1" applyFont="1" applyBorder="1" applyAlignment="1" applyProtection="1">
      <alignment horizontal="center" vertical="center"/>
      <protection hidden="1"/>
    </xf>
    <xf numFmtId="164" fontId="152" fillId="0" borderId="46" xfId="0" applyNumberFormat="1" applyFont="1" applyBorder="1" applyAlignment="1" applyProtection="1">
      <alignment horizontal="center" vertical="center"/>
      <protection hidden="1"/>
    </xf>
    <xf numFmtId="164" fontId="152" fillId="0" borderId="43" xfId="0" applyNumberFormat="1" applyFont="1" applyBorder="1" applyAlignment="1" applyProtection="1">
      <alignment horizontal="center" vertical="center"/>
      <protection hidden="1"/>
    </xf>
    <xf numFmtId="164" fontId="152" fillId="0" borderId="44" xfId="0" applyNumberFormat="1" applyFont="1" applyBorder="1" applyAlignment="1" applyProtection="1">
      <alignment horizontal="center" vertical="center"/>
      <protection hidden="1"/>
    </xf>
    <xf numFmtId="164" fontId="152" fillId="0" borderId="56" xfId="0" applyNumberFormat="1" applyFont="1" applyBorder="1" applyAlignment="1" applyProtection="1">
      <alignment horizontal="center" vertical="center"/>
      <protection hidden="1"/>
    </xf>
    <xf numFmtId="165" fontId="20" fillId="4" borderId="11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46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15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35" xfId="0" applyNumberFormat="1" applyFont="1" applyFill="1" applyBorder="1" applyAlignment="1" applyProtection="1">
      <alignment horizontal="center" vertical="center" wrapText="1"/>
      <protection hidden="1"/>
    </xf>
    <xf numFmtId="164" fontId="152" fillId="0" borderId="11" xfId="0" applyNumberFormat="1" applyFont="1" applyBorder="1" applyAlignment="1" applyProtection="1">
      <alignment horizontal="center" vertical="center" wrapText="1"/>
      <protection hidden="1"/>
    </xf>
    <xf numFmtId="164" fontId="152" fillId="0" borderId="46" xfId="0" applyNumberFormat="1" applyFont="1" applyBorder="1" applyAlignment="1" applyProtection="1">
      <alignment horizontal="center" vertical="center" wrapText="1"/>
      <protection hidden="1"/>
    </xf>
    <xf numFmtId="164" fontId="152" fillId="0" borderId="15" xfId="0" applyNumberFormat="1" applyFont="1" applyBorder="1" applyAlignment="1" applyProtection="1">
      <alignment horizontal="center" vertical="center"/>
      <protection hidden="1"/>
    </xf>
    <xf numFmtId="164" fontId="152" fillId="0" borderId="35" xfId="0" applyNumberFormat="1" applyFont="1" applyBorder="1" applyAlignment="1" applyProtection="1">
      <alignment horizontal="center" vertical="center"/>
      <protection hidden="1"/>
    </xf>
    <xf numFmtId="0" fontId="18" fillId="0" borderId="21" xfId="0" applyFont="1" applyFill="1" applyBorder="1" applyAlignment="1" applyProtection="1">
      <alignment horizontal="left"/>
      <protection hidden="1"/>
    </xf>
    <xf numFmtId="0" fontId="18" fillId="0" borderId="22" xfId="0" applyFont="1" applyFill="1" applyBorder="1" applyAlignment="1" applyProtection="1">
      <alignment horizontal="left"/>
      <protection hidden="1"/>
    </xf>
    <xf numFmtId="0" fontId="18" fillId="0" borderId="23" xfId="0" applyFont="1" applyFill="1" applyBorder="1" applyAlignment="1" applyProtection="1">
      <alignment horizontal="left"/>
      <protection hidden="1"/>
    </xf>
    <xf numFmtId="0" fontId="18" fillId="0" borderId="13" xfId="0" applyFont="1" applyFill="1" applyBorder="1" applyAlignment="1" applyProtection="1">
      <alignment horizontal="left"/>
      <protection hidden="1"/>
    </xf>
    <xf numFmtId="0" fontId="74" fillId="0" borderId="19" xfId="0" applyFont="1" applyFill="1" applyBorder="1" applyAlignment="1" applyProtection="1">
      <alignment horizontal="left" vertical="top"/>
      <protection hidden="1"/>
    </xf>
    <xf numFmtId="0" fontId="74" fillId="0" borderId="16" xfId="0" applyFont="1" applyFill="1" applyBorder="1" applyAlignment="1" applyProtection="1">
      <alignment horizontal="left" vertical="top"/>
      <protection hidden="1"/>
    </xf>
    <xf numFmtId="0" fontId="74" fillId="0" borderId="17" xfId="0" applyFont="1" applyFill="1" applyBorder="1" applyAlignment="1" applyProtection="1">
      <alignment horizontal="left" vertical="top"/>
      <protection hidden="1"/>
    </xf>
    <xf numFmtId="0" fontId="74" fillId="0" borderId="35" xfId="0" applyFont="1" applyFill="1" applyBorder="1" applyAlignment="1" applyProtection="1">
      <alignment horizontal="left" vertical="top"/>
      <protection hidden="1"/>
    </xf>
    <xf numFmtId="164" fontId="17" fillId="0" borderId="19" xfId="0" applyNumberFormat="1" applyFont="1" applyFill="1" applyBorder="1" applyAlignment="1" applyProtection="1">
      <alignment horizontal="center" vertical="center"/>
      <protection hidden="1"/>
    </xf>
    <xf numFmtId="164" fontId="17" fillId="0" borderId="17" xfId="0" applyNumberFormat="1" applyFont="1" applyFill="1" applyBorder="1" applyAlignment="1" applyProtection="1">
      <alignment horizontal="center" vertical="center"/>
      <protection hidden="1"/>
    </xf>
    <xf numFmtId="0" fontId="53" fillId="0" borderId="27" xfId="0" applyFont="1" applyFill="1" applyBorder="1" applyAlignment="1" applyProtection="1">
      <alignment horizontal="justify" wrapText="1"/>
      <protection hidden="1"/>
    </xf>
    <xf numFmtId="0" fontId="53" fillId="0" borderId="0" xfId="0" applyFont="1" applyFill="1" applyBorder="1" applyAlignment="1" applyProtection="1">
      <alignment horizontal="justify" wrapText="1"/>
      <protection hidden="1"/>
    </xf>
    <xf numFmtId="0" fontId="53" fillId="0" borderId="28" xfId="0" applyFont="1" applyFill="1" applyBorder="1" applyAlignment="1" applyProtection="1">
      <alignment horizontal="justify" wrapText="1"/>
      <protection hidden="1"/>
    </xf>
    <xf numFmtId="0" fontId="11" fillId="2" borderId="27" xfId="0" applyFont="1" applyFill="1" applyBorder="1" applyAlignment="1" applyProtection="1">
      <alignment horizontal="left" wrapText="1" indent="1"/>
      <protection hidden="1"/>
    </xf>
    <xf numFmtId="0" fontId="11" fillId="2" borderId="0" xfId="0" applyFont="1" applyFill="1" applyBorder="1" applyAlignment="1" applyProtection="1">
      <alignment horizontal="left" wrapText="1" indent="1"/>
      <protection hidden="1"/>
    </xf>
    <xf numFmtId="0" fontId="11" fillId="2" borderId="28" xfId="0" applyFont="1" applyFill="1" applyBorder="1" applyAlignment="1" applyProtection="1">
      <alignment horizontal="left" wrapText="1" indent="1"/>
      <protection hidden="1"/>
    </xf>
    <xf numFmtId="0" fontId="11" fillId="2" borderId="27" xfId="0" applyFont="1" applyFill="1" applyBorder="1" applyAlignment="1" applyProtection="1">
      <alignment horizontal="left" vertical="center" wrapText="1" indent="1"/>
      <protection hidden="1"/>
    </xf>
    <xf numFmtId="0" fontId="11" fillId="2" borderId="0" xfId="0" applyFont="1" applyFill="1" applyBorder="1" applyAlignment="1" applyProtection="1">
      <alignment horizontal="left" vertical="center" wrapText="1" indent="1"/>
      <protection hidden="1"/>
    </xf>
    <xf numFmtId="0" fontId="11" fillId="2" borderId="28" xfId="0" applyFont="1" applyFill="1" applyBorder="1" applyAlignment="1" applyProtection="1">
      <alignment horizontal="left" vertical="center" wrapText="1" indent="1"/>
      <protection hidden="1"/>
    </xf>
    <xf numFmtId="0" fontId="18" fillId="7" borderId="1" xfId="0" applyFont="1" applyFill="1" applyBorder="1" applyAlignment="1" applyProtection="1">
      <alignment horizontal="center" vertical="center" wrapText="1"/>
      <protection hidden="1"/>
    </xf>
    <xf numFmtId="0" fontId="18" fillId="7" borderId="3" xfId="0" applyFont="1" applyFill="1" applyBorder="1" applyAlignment="1" applyProtection="1">
      <alignment horizontal="center" vertical="center" wrapText="1"/>
      <protection hidden="1"/>
    </xf>
    <xf numFmtId="0" fontId="18" fillId="7" borderId="4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alignment horizontal="center" vertical="center" wrapText="1"/>
      <protection hidden="1"/>
    </xf>
    <xf numFmtId="0" fontId="18" fillId="2" borderId="28" xfId="0" applyFont="1" applyFill="1" applyBorder="1" applyAlignment="1" applyProtection="1">
      <alignment horizontal="center" vertical="center" wrapText="1"/>
      <protection hidden="1"/>
    </xf>
    <xf numFmtId="0" fontId="48" fillId="3" borderId="10" xfId="0" applyFont="1" applyFill="1" applyBorder="1" applyAlignment="1" applyProtection="1">
      <alignment horizontal="left" vertical="center" wrapText="1"/>
      <protection hidden="1"/>
    </xf>
    <xf numFmtId="0" fontId="48" fillId="3" borderId="7" xfId="0" applyFont="1" applyFill="1" applyBorder="1" applyAlignment="1" applyProtection="1">
      <alignment horizontal="left" vertical="center" wrapText="1"/>
      <protection hidden="1"/>
    </xf>
    <xf numFmtId="0" fontId="48" fillId="3" borderId="8" xfId="0" applyFont="1" applyFill="1" applyBorder="1" applyAlignment="1" applyProtection="1">
      <alignment horizontal="left" vertical="center" wrapText="1"/>
      <protection hidden="1"/>
    </xf>
    <xf numFmtId="0" fontId="48" fillId="3" borderId="27" xfId="0" applyFont="1" applyFill="1" applyBorder="1" applyAlignment="1" applyProtection="1">
      <alignment horizontal="left" vertical="center" wrapText="1"/>
      <protection hidden="1"/>
    </xf>
    <xf numFmtId="0" fontId="48" fillId="3" borderId="0" xfId="0" applyFont="1" applyFill="1" applyBorder="1" applyAlignment="1" applyProtection="1">
      <alignment horizontal="left" vertical="center" wrapText="1"/>
      <protection hidden="1"/>
    </xf>
    <xf numFmtId="0" fontId="48" fillId="3" borderId="28" xfId="0" applyFont="1" applyFill="1" applyBorder="1" applyAlignment="1" applyProtection="1">
      <alignment horizontal="left" vertical="center" wrapText="1"/>
      <protection hidden="1"/>
    </xf>
    <xf numFmtId="0" fontId="48" fillId="3" borderId="25" xfId="0" applyFont="1" applyFill="1" applyBorder="1" applyAlignment="1" applyProtection="1">
      <alignment horizontal="left" vertical="center" wrapText="1"/>
      <protection hidden="1"/>
    </xf>
    <xf numFmtId="0" fontId="48" fillId="3" borderId="5" xfId="0" applyFont="1" applyFill="1" applyBorder="1" applyAlignment="1" applyProtection="1">
      <alignment horizontal="left" vertical="center" wrapText="1"/>
      <protection hidden="1"/>
    </xf>
    <xf numFmtId="0" fontId="48" fillId="3" borderId="26" xfId="0" applyFont="1" applyFill="1" applyBorder="1" applyAlignment="1" applyProtection="1">
      <alignment horizontal="left" vertical="center" wrapText="1"/>
      <protection hidden="1"/>
    </xf>
    <xf numFmtId="0" fontId="53" fillId="0" borderId="10" xfId="0" applyFont="1" applyFill="1" applyBorder="1" applyAlignment="1" applyProtection="1">
      <alignment horizontal="justify" wrapText="1"/>
      <protection hidden="1"/>
    </xf>
    <xf numFmtId="0" fontId="53" fillId="0" borderId="7" xfId="0" applyFont="1" applyFill="1" applyBorder="1" applyAlignment="1" applyProtection="1">
      <alignment horizontal="justify" wrapText="1"/>
      <protection hidden="1"/>
    </xf>
    <xf numFmtId="0" fontId="53" fillId="0" borderId="8" xfId="0" applyFont="1" applyFill="1" applyBorder="1" applyAlignment="1" applyProtection="1">
      <alignment horizontal="justify" wrapText="1"/>
      <protection hidden="1"/>
    </xf>
    <xf numFmtId="0" fontId="23" fillId="2" borderId="10" xfId="0" applyFont="1" applyFill="1" applyBorder="1" applyAlignment="1" applyProtection="1">
      <alignment horizontal="left" vertical="center"/>
      <protection hidden="1"/>
    </xf>
    <xf numFmtId="0" fontId="23" fillId="2" borderId="7" xfId="0" applyFont="1" applyFill="1" applyBorder="1" applyAlignment="1" applyProtection="1">
      <alignment horizontal="left" vertical="center"/>
      <protection hidden="1"/>
    </xf>
    <xf numFmtId="0" fontId="23" fillId="2" borderId="8" xfId="0" applyFont="1" applyFill="1" applyBorder="1" applyAlignment="1" applyProtection="1">
      <alignment horizontal="left" vertical="center"/>
      <protection hidden="1"/>
    </xf>
    <xf numFmtId="0" fontId="11" fillId="2" borderId="4" xfId="0" applyFont="1" applyFill="1" applyBorder="1" applyAlignment="1" applyProtection="1">
      <alignment horizontal="left" vertical="center" wrapText="1" indent="2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28" xfId="0" applyFont="1" applyFill="1" applyBorder="1" applyAlignment="1" applyProtection="1">
      <alignment horizontal="center" vertical="center" wrapText="1"/>
      <protection hidden="1"/>
    </xf>
    <xf numFmtId="0" fontId="28" fillId="0" borderId="1" xfId="0" applyFont="1" applyBorder="1" applyAlignment="1" applyProtection="1">
      <alignment horizontal="left" wrapText="1"/>
      <protection hidden="1"/>
    </xf>
    <xf numFmtId="0" fontId="28" fillId="0" borderId="2" xfId="0" applyFont="1" applyBorder="1" applyAlignment="1" applyProtection="1">
      <alignment horizontal="left"/>
      <protection hidden="1"/>
    </xf>
    <xf numFmtId="0" fontId="28" fillId="0" borderId="3" xfId="0" applyFont="1" applyBorder="1" applyAlignment="1" applyProtection="1">
      <alignment horizontal="left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28" xfId="0" applyFont="1" applyFill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23" fillId="2" borderId="27" xfId="0" applyFont="1" applyFill="1" applyBorder="1" applyAlignment="1" applyProtection="1">
      <alignment horizontal="left"/>
      <protection hidden="1"/>
    </xf>
    <xf numFmtId="0" fontId="23" fillId="2" borderId="0" xfId="0" applyFont="1" applyFill="1" applyBorder="1" applyAlignment="1" applyProtection="1">
      <alignment horizontal="left"/>
      <protection hidden="1"/>
    </xf>
    <xf numFmtId="0" fontId="23" fillId="2" borderId="28" xfId="0" applyFont="1" applyFill="1" applyBorder="1" applyAlignment="1" applyProtection="1">
      <alignment horizontal="left"/>
      <protection hidden="1"/>
    </xf>
    <xf numFmtId="0" fontId="11" fillId="2" borderId="25" xfId="0" applyFont="1" applyFill="1" applyBorder="1" applyAlignment="1" applyProtection="1">
      <alignment horizontal="left" wrapText="1" indent="1"/>
      <protection hidden="1"/>
    </xf>
    <xf numFmtId="0" fontId="11" fillId="2" borderId="5" xfId="0" applyFont="1" applyFill="1" applyBorder="1" applyAlignment="1" applyProtection="1">
      <alignment horizontal="left" wrapText="1" indent="1"/>
      <protection hidden="1"/>
    </xf>
    <xf numFmtId="0" fontId="11" fillId="2" borderId="26" xfId="0" applyFont="1" applyFill="1" applyBorder="1" applyAlignment="1" applyProtection="1">
      <alignment horizontal="left" wrapText="1" indent="1"/>
      <protection hidden="1"/>
    </xf>
    <xf numFmtId="0" fontId="11" fillId="2" borderId="1" xfId="0" applyFont="1" applyFill="1" applyBorder="1" applyAlignment="1" applyProtection="1">
      <alignment horizontal="left" vertical="center" wrapText="1" indent="2"/>
      <protection hidden="1"/>
    </xf>
    <xf numFmtId="0" fontId="11" fillId="2" borderId="3" xfId="0" applyFont="1" applyFill="1" applyBorder="1" applyAlignment="1" applyProtection="1">
      <alignment horizontal="left" vertical="center" wrapText="1" indent="2"/>
      <protection hidden="1"/>
    </xf>
    <xf numFmtId="164" fontId="17" fillId="0" borderId="1" xfId="0" applyNumberFormat="1" applyFont="1" applyFill="1" applyBorder="1" applyAlignment="1" applyProtection="1">
      <alignment horizontal="center" vertical="center"/>
      <protection hidden="1"/>
    </xf>
    <xf numFmtId="164" fontId="17" fillId="0" borderId="34" xfId="0" applyNumberFormat="1" applyFont="1" applyFill="1" applyBorder="1" applyAlignment="1" applyProtection="1">
      <alignment horizontal="center" vertical="center"/>
      <protection hidden="1"/>
    </xf>
    <xf numFmtId="164" fontId="17" fillId="0" borderId="35" xfId="0" applyNumberFormat="1" applyFont="1" applyFill="1" applyBorder="1" applyAlignment="1" applyProtection="1">
      <alignment horizontal="center" vertical="center"/>
      <protection hidden="1"/>
    </xf>
    <xf numFmtId="0" fontId="17" fillId="2" borderId="23" xfId="0" applyFont="1" applyFill="1" applyBorder="1" applyAlignment="1" applyProtection="1">
      <alignment horizontal="center" vertical="center"/>
      <protection hidden="1"/>
    </xf>
    <xf numFmtId="0" fontId="17" fillId="2" borderId="30" xfId="0" applyFont="1" applyFill="1" applyBorder="1" applyAlignment="1" applyProtection="1">
      <alignment horizontal="center" vertical="center"/>
      <protection hidden="1"/>
    </xf>
    <xf numFmtId="164" fontId="17" fillId="0" borderId="3" xfId="0" applyNumberFormat="1" applyFont="1" applyFill="1" applyBorder="1" applyAlignment="1" applyProtection="1">
      <alignment horizontal="center" vertical="center"/>
      <protection hidden="1"/>
    </xf>
    <xf numFmtId="0" fontId="17" fillId="2" borderId="46" xfId="0" applyFont="1" applyFill="1" applyBorder="1" applyAlignment="1" applyProtection="1">
      <alignment horizontal="center" vertical="center"/>
      <protection hidden="1"/>
    </xf>
    <xf numFmtId="164" fontId="20" fillId="0" borderId="16" xfId="0" applyNumberFormat="1" applyFont="1" applyBorder="1" applyAlignment="1" applyProtection="1">
      <alignment horizontal="center" vertical="center" wrapText="1"/>
      <protection hidden="1"/>
    </xf>
    <xf numFmtId="164" fontId="152" fillId="0" borderId="12" xfId="0" applyNumberFormat="1" applyFont="1" applyBorder="1" applyAlignment="1" applyProtection="1">
      <alignment horizontal="center" vertical="center" wrapText="1"/>
      <protection hidden="1"/>
    </xf>
    <xf numFmtId="164" fontId="152" fillId="0" borderId="16" xfId="0" applyNumberFormat="1" applyFont="1" applyBorder="1" applyAlignment="1" applyProtection="1">
      <alignment horizontal="center"/>
      <protection hidden="1"/>
    </xf>
    <xf numFmtId="164" fontId="152" fillId="0" borderId="35" xfId="0" applyNumberFormat="1" applyFont="1" applyBorder="1" applyAlignment="1" applyProtection="1">
      <alignment horizontal="center"/>
      <protection hidden="1"/>
    </xf>
    <xf numFmtId="165" fontId="154" fillId="4" borderId="11" xfId="0" applyNumberFormat="1" applyFont="1" applyFill="1" applyBorder="1" applyAlignment="1" applyProtection="1">
      <alignment horizontal="center" vertical="center" wrapText="1"/>
      <protection hidden="1"/>
    </xf>
    <xf numFmtId="165" fontId="154" fillId="4" borderId="46" xfId="0" applyNumberFormat="1" applyFont="1" applyFill="1" applyBorder="1" applyAlignment="1" applyProtection="1">
      <alignment horizontal="center" vertical="center" wrapText="1"/>
      <protection hidden="1"/>
    </xf>
    <xf numFmtId="165" fontId="154" fillId="4" borderId="15" xfId="0" applyNumberFormat="1" applyFont="1" applyFill="1" applyBorder="1" applyAlignment="1" applyProtection="1">
      <alignment horizontal="center" vertical="center" wrapText="1"/>
      <protection hidden="1"/>
    </xf>
    <xf numFmtId="165" fontId="154" fillId="4" borderId="35" xfId="0" applyNumberFormat="1" applyFont="1" applyFill="1" applyBorder="1" applyAlignment="1" applyProtection="1">
      <alignment horizontal="center" vertical="center" wrapText="1"/>
      <protection hidden="1"/>
    </xf>
    <xf numFmtId="164" fontId="20" fillId="2" borderId="11" xfId="0" applyNumberFormat="1" applyFont="1" applyFill="1" applyBorder="1" applyAlignment="1" applyProtection="1">
      <alignment horizontal="center" vertical="center"/>
      <protection hidden="1"/>
    </xf>
    <xf numFmtId="164" fontId="20" fillId="2" borderId="46" xfId="0" applyNumberFormat="1" applyFont="1" applyFill="1" applyBorder="1" applyAlignment="1" applyProtection="1">
      <alignment horizontal="center" vertical="center"/>
      <protection hidden="1"/>
    </xf>
    <xf numFmtId="164" fontId="20" fillId="2" borderId="15" xfId="0" applyNumberFormat="1" applyFont="1" applyFill="1" applyBorder="1" applyAlignment="1" applyProtection="1">
      <alignment horizontal="center" vertical="center"/>
      <protection hidden="1"/>
    </xf>
    <xf numFmtId="164" fontId="20" fillId="2" borderId="35" xfId="0" applyNumberFormat="1" applyFont="1" applyFill="1" applyBorder="1" applyAlignment="1" applyProtection="1">
      <alignment horizontal="center" vertical="center"/>
      <protection hidden="1"/>
    </xf>
    <xf numFmtId="165" fontId="61" fillId="4" borderId="74" xfId="0" applyNumberFormat="1" applyFont="1" applyFill="1" applyBorder="1" applyAlignment="1" applyProtection="1">
      <alignment horizontal="center" vertical="center" wrapText="1"/>
      <protection hidden="1"/>
    </xf>
    <xf numFmtId="165" fontId="61" fillId="4" borderId="92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82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93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6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34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74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92" xfId="0" applyNumberFormat="1" applyFont="1" applyFill="1" applyBorder="1" applyAlignment="1" applyProtection="1">
      <alignment horizontal="center" vertical="center" wrapText="1"/>
      <protection hidden="1"/>
    </xf>
    <xf numFmtId="164" fontId="20" fillId="0" borderId="102" xfId="0" applyNumberFormat="1" applyFont="1" applyBorder="1" applyAlignment="1" applyProtection="1">
      <alignment horizontal="center" vertical="center" wrapText="1"/>
      <protection hidden="1"/>
    </xf>
    <xf numFmtId="164" fontId="20" fillId="0" borderId="98" xfId="0" applyNumberFormat="1" applyFont="1" applyBorder="1" applyAlignment="1" applyProtection="1">
      <alignment horizontal="center" vertical="center" wrapText="1"/>
      <protection hidden="1"/>
    </xf>
    <xf numFmtId="164" fontId="155" fillId="0" borderId="82" xfId="0" applyNumberFormat="1" applyFont="1" applyBorder="1" applyAlignment="1" applyProtection="1">
      <alignment horizontal="center" vertical="center" wrapText="1"/>
      <protection hidden="1"/>
    </xf>
    <xf numFmtId="164" fontId="155" fillId="0" borderId="83" xfId="0" applyNumberFormat="1" applyFont="1" applyBorder="1" applyAlignment="1" applyProtection="1">
      <alignment horizontal="center" vertical="center" wrapText="1"/>
      <protection hidden="1"/>
    </xf>
    <xf numFmtId="164" fontId="155" fillId="0" borderId="58" xfId="0" applyNumberFormat="1" applyFont="1" applyBorder="1" applyAlignment="1" applyProtection="1">
      <alignment horizontal="center" vertical="center" wrapText="1"/>
      <protection hidden="1"/>
    </xf>
    <xf numFmtId="164" fontId="155" fillId="0" borderId="5" xfId="0" applyNumberFormat="1" applyFont="1" applyBorder="1" applyAlignment="1" applyProtection="1">
      <alignment horizontal="center" vertical="center" wrapText="1"/>
      <protection hidden="1"/>
    </xf>
    <xf numFmtId="165" fontId="20" fillId="4" borderId="102" xfId="0" applyNumberFormat="1" applyFont="1" applyFill="1" applyBorder="1" applyAlignment="1" applyProtection="1">
      <alignment horizontal="center" vertical="center" wrapText="1"/>
      <protection hidden="1"/>
    </xf>
    <xf numFmtId="165" fontId="20" fillId="4" borderId="105" xfId="0" applyNumberFormat="1" applyFont="1" applyFill="1" applyBorder="1" applyAlignment="1" applyProtection="1">
      <alignment horizontal="center" vertical="center" wrapText="1"/>
      <protection hidden="1"/>
    </xf>
    <xf numFmtId="165" fontId="61" fillId="4" borderId="82" xfId="0" applyNumberFormat="1" applyFont="1" applyFill="1" applyBorder="1" applyAlignment="1" applyProtection="1">
      <alignment horizontal="center" vertical="center" wrapText="1"/>
      <protection hidden="1"/>
    </xf>
    <xf numFmtId="165" fontId="61" fillId="4" borderId="93" xfId="0" applyNumberFormat="1" applyFont="1" applyFill="1" applyBorder="1" applyAlignment="1" applyProtection="1">
      <alignment horizontal="center" vertical="center" wrapText="1"/>
      <protection hidden="1"/>
    </xf>
    <xf numFmtId="165" fontId="61" fillId="4" borderId="58" xfId="0" applyNumberFormat="1" applyFont="1" applyFill="1" applyBorder="1" applyAlignment="1" applyProtection="1">
      <alignment horizontal="center" vertical="center" wrapText="1"/>
      <protection hidden="1"/>
    </xf>
    <xf numFmtId="165" fontId="6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52" fillId="10" borderId="53" xfId="0" applyFont="1" applyFill="1" applyBorder="1" applyAlignment="1">
      <alignment horizontal="center" vertical="center" wrapText="1"/>
    </xf>
    <xf numFmtId="0" fontId="52" fillId="10" borderId="56" xfId="0" applyFont="1" applyFill="1" applyBorder="1" applyAlignment="1">
      <alignment horizontal="center" vertical="center" wrapText="1"/>
    </xf>
    <xf numFmtId="0" fontId="109" fillId="10" borderId="21" xfId="1" applyFont="1" applyFill="1" applyBorder="1" applyAlignment="1">
      <alignment horizontal="center" vertical="center" wrapText="1"/>
    </xf>
    <xf numFmtId="0" fontId="109" fillId="10" borderId="24" xfId="1" applyFont="1" applyFill="1" applyBorder="1" applyAlignment="1">
      <alignment horizontal="center" vertical="center" wrapText="1"/>
    </xf>
    <xf numFmtId="0" fontId="109" fillId="3" borderId="23" xfId="1" applyFont="1" applyFill="1" applyBorder="1" applyAlignment="1">
      <alignment horizontal="center" vertical="center" wrapText="1"/>
    </xf>
    <xf numFmtId="0" fontId="109" fillId="3" borderId="19" xfId="1" applyFont="1" applyFill="1" applyBorder="1" applyAlignment="1">
      <alignment horizontal="center" vertical="center" wrapText="1"/>
    </xf>
    <xf numFmtId="0" fontId="52" fillId="3" borderId="21" xfId="0" applyFont="1" applyFill="1" applyBorder="1" applyAlignment="1">
      <alignment horizontal="center" vertical="center"/>
    </xf>
    <xf numFmtId="0" fontId="52" fillId="3" borderId="22" xfId="0" applyFont="1" applyFill="1" applyBorder="1" applyAlignment="1">
      <alignment horizontal="center" vertical="center"/>
    </xf>
    <xf numFmtId="0" fontId="52" fillId="3" borderId="13" xfId="0" applyFont="1" applyFill="1" applyBorder="1" applyAlignment="1">
      <alignment horizontal="center" vertical="center"/>
    </xf>
    <xf numFmtId="0" fontId="52" fillId="10" borderId="12" xfId="0" applyFont="1" applyFill="1" applyBorder="1" applyAlignment="1">
      <alignment horizontal="center" vertical="center" wrapText="1"/>
    </xf>
    <xf numFmtId="0" fontId="52" fillId="10" borderId="46" xfId="0" applyFont="1" applyFill="1" applyBorder="1" applyAlignment="1">
      <alignment horizontal="center" vertical="center" wrapText="1"/>
    </xf>
    <xf numFmtId="0" fontId="52" fillId="10" borderId="21" xfId="0" applyFont="1" applyFill="1" applyBorder="1" applyAlignment="1">
      <alignment horizontal="center" vertical="center" wrapText="1"/>
    </xf>
    <xf numFmtId="0" fontId="52" fillId="10" borderId="24" xfId="0" applyFont="1" applyFill="1" applyBorder="1" applyAlignment="1">
      <alignment horizontal="center" vertical="center" wrapText="1"/>
    </xf>
    <xf numFmtId="0" fontId="52" fillId="10" borderId="22" xfId="0" applyFont="1" applyFill="1" applyBorder="1" applyAlignment="1">
      <alignment horizontal="center" vertical="center" wrapText="1"/>
    </xf>
    <xf numFmtId="0" fontId="52" fillId="10" borderId="18" xfId="0" applyFont="1" applyFill="1" applyBorder="1" applyAlignment="1">
      <alignment horizontal="center" vertical="center" wrapText="1"/>
    </xf>
    <xf numFmtId="0" fontId="52" fillId="3" borderId="18" xfId="0" applyFont="1" applyFill="1" applyBorder="1" applyAlignment="1">
      <alignment horizontal="center" vertical="center"/>
    </xf>
    <xf numFmtId="0" fontId="52" fillId="3" borderId="23" xfId="0" applyFont="1" applyFill="1" applyBorder="1" applyAlignment="1">
      <alignment horizontal="center" vertical="center"/>
    </xf>
    <xf numFmtId="0" fontId="52" fillId="3" borderId="19" xfId="0" applyFont="1" applyFill="1" applyBorder="1" applyAlignment="1">
      <alignment horizontal="center" vertical="center"/>
    </xf>
    <xf numFmtId="0" fontId="52" fillId="10" borderId="13" xfId="0" applyFont="1" applyFill="1" applyBorder="1" applyAlignment="1">
      <alignment horizontal="center" vertical="center" wrapText="1"/>
    </xf>
    <xf numFmtId="0" fontId="52" fillId="10" borderId="20" xfId="0" applyFont="1" applyFill="1" applyBorder="1" applyAlignment="1">
      <alignment horizontal="center" vertical="center" wrapText="1"/>
    </xf>
    <xf numFmtId="0" fontId="34" fillId="0" borderId="10" xfId="0" applyFont="1" applyBorder="1" applyAlignment="1" applyProtection="1">
      <alignment horizontal="left" wrapText="1"/>
      <protection hidden="1"/>
    </xf>
    <xf numFmtId="0" fontId="34" fillId="0" borderId="7" xfId="0" applyFont="1" applyBorder="1" applyAlignment="1" applyProtection="1">
      <alignment horizontal="left" wrapText="1"/>
      <protection hidden="1"/>
    </xf>
    <xf numFmtId="0" fontId="34" fillId="0" borderId="8" xfId="0" applyFont="1" applyBorder="1" applyAlignment="1" applyProtection="1">
      <alignment horizontal="left" wrapText="1"/>
      <protection hidden="1"/>
    </xf>
    <xf numFmtId="0" fontId="35" fillId="0" borderId="27" xfId="0" applyFont="1" applyBorder="1" applyAlignment="1" applyProtection="1">
      <alignment horizontal="left" vertical="top" wrapText="1" indent="2"/>
      <protection hidden="1"/>
    </xf>
    <xf numFmtId="0" fontId="34" fillId="0" borderId="0" xfId="0" applyFont="1" applyBorder="1" applyAlignment="1" applyProtection="1">
      <alignment horizontal="left" vertical="top" wrapText="1" indent="2"/>
      <protection hidden="1"/>
    </xf>
    <xf numFmtId="0" fontId="34" fillId="0" borderId="28" xfId="0" applyFont="1" applyBorder="1" applyAlignment="1" applyProtection="1">
      <alignment horizontal="left" vertical="top" wrapText="1" indent="2"/>
      <protection hidden="1"/>
    </xf>
    <xf numFmtId="0" fontId="107" fillId="12" borderId="50" xfId="0" applyFont="1" applyFill="1" applyBorder="1" applyAlignment="1" applyProtection="1">
      <alignment horizontal="center" vertical="center"/>
      <protection hidden="1"/>
    </xf>
    <xf numFmtId="0" fontId="107" fillId="12" borderId="69" xfId="0" applyFont="1" applyFill="1" applyBorder="1" applyAlignment="1" applyProtection="1">
      <alignment horizontal="center" vertical="center"/>
      <protection hidden="1"/>
    </xf>
    <xf numFmtId="0" fontId="109" fillId="3" borderId="60" xfId="1" applyFont="1" applyFill="1" applyBorder="1" applyAlignment="1">
      <alignment horizontal="center" vertical="center" wrapText="1"/>
    </xf>
    <xf numFmtId="0" fontId="109" fillId="3" borderId="63" xfId="1" applyFont="1" applyFill="1" applyBorder="1" applyAlignment="1">
      <alignment horizontal="center" vertical="center" wrapText="1"/>
    </xf>
    <xf numFmtId="0" fontId="109" fillId="10" borderId="61" xfId="1" applyFont="1" applyFill="1" applyBorder="1" applyAlignment="1">
      <alignment horizontal="center" vertical="center" wrapText="1"/>
    </xf>
    <xf numFmtId="0" fontId="109" fillId="10" borderId="62" xfId="1" applyFont="1" applyFill="1" applyBorder="1" applyAlignment="1">
      <alignment horizontal="center" vertical="center" wrapText="1"/>
    </xf>
    <xf numFmtId="0" fontId="52" fillId="3" borderId="21" xfId="0" applyFont="1" applyFill="1" applyBorder="1" applyAlignment="1">
      <alignment horizontal="center" vertical="center" wrapText="1"/>
    </xf>
    <xf numFmtId="0" fontId="52" fillId="3" borderId="24" xfId="0" applyFont="1" applyFill="1" applyBorder="1" applyAlignment="1">
      <alignment horizontal="center" vertical="center" wrapText="1"/>
    </xf>
    <xf numFmtId="0" fontId="52" fillId="3" borderId="22" xfId="0" applyFont="1" applyFill="1" applyBorder="1" applyAlignment="1">
      <alignment horizontal="center" vertical="center" wrapText="1"/>
    </xf>
    <xf numFmtId="0" fontId="52" fillId="3" borderId="18" xfId="0" applyFont="1" applyFill="1" applyBorder="1" applyAlignment="1">
      <alignment horizontal="center" vertical="center" wrapText="1"/>
    </xf>
    <xf numFmtId="0" fontId="34" fillId="0" borderId="9" xfId="0" applyFont="1" applyBorder="1" applyAlignment="1" applyProtection="1">
      <alignment horizontal="left" wrapText="1"/>
      <protection hidden="1"/>
    </xf>
    <xf numFmtId="0" fontId="52" fillId="3" borderId="13" xfId="0" applyFont="1" applyFill="1" applyBorder="1" applyAlignment="1">
      <alignment horizontal="center" vertical="center" wrapText="1"/>
    </xf>
    <xf numFmtId="0" fontId="52" fillId="3" borderId="20" xfId="0" applyFont="1" applyFill="1" applyBorder="1" applyAlignment="1">
      <alignment horizontal="center" vertical="center" wrapText="1"/>
    </xf>
    <xf numFmtId="0" fontId="52" fillId="3" borderId="30" xfId="0" applyFont="1" applyFill="1" applyBorder="1" applyAlignment="1">
      <alignment horizontal="center" vertical="center" wrapText="1"/>
    </xf>
    <xf numFmtId="0" fontId="109" fillId="3" borderId="30" xfId="1" applyFont="1" applyFill="1" applyBorder="1" applyAlignment="1">
      <alignment horizontal="center" vertical="center" wrapText="1"/>
    </xf>
    <xf numFmtId="0" fontId="52" fillId="3" borderId="46" xfId="0" applyFont="1" applyFill="1" applyBorder="1" applyAlignment="1">
      <alignment horizontal="center" vertical="center" wrapText="1"/>
    </xf>
    <xf numFmtId="0" fontId="52" fillId="3" borderId="35" xfId="0" applyFont="1" applyFill="1" applyBorder="1" applyAlignment="1">
      <alignment horizontal="center" vertical="center" wrapText="1"/>
    </xf>
    <xf numFmtId="0" fontId="52" fillId="3" borderId="23" xfId="0" applyFont="1" applyFill="1" applyBorder="1" applyAlignment="1">
      <alignment horizontal="center" vertical="center" wrapText="1"/>
    </xf>
    <xf numFmtId="0" fontId="52" fillId="3" borderId="19" xfId="0" applyFont="1" applyFill="1" applyBorder="1" applyAlignment="1">
      <alignment horizontal="center" vertical="center" wrapText="1"/>
    </xf>
    <xf numFmtId="0" fontId="35" fillId="0" borderId="63" xfId="0" applyFont="1" applyBorder="1" applyAlignment="1" applyProtection="1">
      <alignment horizontal="left" vertical="top" wrapText="1" indent="1"/>
      <protection hidden="1"/>
    </xf>
    <xf numFmtId="0" fontId="35" fillId="0" borderId="44" xfId="0" applyFont="1" applyBorder="1" applyAlignment="1" applyProtection="1">
      <alignment horizontal="left" vertical="top" wrapText="1" indent="1"/>
      <protection hidden="1"/>
    </xf>
    <xf numFmtId="0" fontId="35" fillId="0" borderId="45" xfId="0" applyFont="1" applyBorder="1" applyAlignment="1" applyProtection="1">
      <alignment horizontal="left" vertical="top" wrapText="1" indent="1"/>
      <protection hidden="1"/>
    </xf>
    <xf numFmtId="0" fontId="80" fillId="12" borderId="50" xfId="0" applyFont="1" applyFill="1" applyBorder="1" applyAlignment="1" applyProtection="1">
      <alignment horizontal="center" vertical="center"/>
      <protection hidden="1"/>
    </xf>
    <xf numFmtId="0" fontId="80" fillId="12" borderId="49" xfId="0" applyFont="1" applyFill="1" applyBorder="1" applyAlignment="1" applyProtection="1">
      <alignment horizontal="center" vertical="center"/>
      <protection hidden="1"/>
    </xf>
    <xf numFmtId="0" fontId="80" fillId="12" borderId="69" xfId="0" applyFont="1" applyFill="1" applyBorder="1" applyAlignment="1" applyProtection="1">
      <alignment horizontal="center" vertical="center"/>
      <protection hidden="1"/>
    </xf>
    <xf numFmtId="0" fontId="55" fillId="5" borderId="54" xfId="0" applyFont="1" applyFill="1" applyBorder="1" applyAlignment="1" applyProtection="1">
      <alignment horizontal="left" vertical="center" wrapText="1" indent="1"/>
      <protection hidden="1"/>
    </xf>
    <xf numFmtId="0" fontId="55" fillId="5" borderId="0" xfId="0" applyFont="1" applyFill="1" applyBorder="1" applyAlignment="1" applyProtection="1">
      <alignment horizontal="left" vertical="center" wrapText="1" indent="1"/>
      <protection hidden="1"/>
    </xf>
    <xf numFmtId="0" fontId="55" fillId="5" borderId="55" xfId="0" applyFont="1" applyFill="1" applyBorder="1" applyAlignment="1" applyProtection="1">
      <alignment horizontal="left" vertical="center" wrapText="1" indent="1"/>
      <protection hidden="1"/>
    </xf>
    <xf numFmtId="0" fontId="55" fillId="5" borderId="43" xfId="0" applyFont="1" applyFill="1" applyBorder="1" applyAlignment="1" applyProtection="1">
      <alignment horizontal="left" vertical="top" wrapText="1"/>
      <protection hidden="1"/>
    </xf>
    <xf numFmtId="0" fontId="55" fillId="5" borderId="44" xfId="0" applyFont="1" applyFill="1" applyBorder="1" applyAlignment="1" applyProtection="1">
      <alignment horizontal="left" vertical="top" wrapText="1"/>
      <protection hidden="1"/>
    </xf>
    <xf numFmtId="0" fontId="55" fillId="5" borderId="56" xfId="0" applyFont="1" applyFill="1" applyBorder="1" applyAlignment="1" applyProtection="1">
      <alignment horizontal="left" vertical="top" wrapText="1"/>
      <protection hidden="1"/>
    </xf>
    <xf numFmtId="0" fontId="20" fillId="0" borderId="9" xfId="0" applyFont="1" applyBorder="1" applyAlignment="1" applyProtection="1">
      <alignment horizontal="left" shrinkToFit="1"/>
      <protection hidden="1"/>
    </xf>
    <xf numFmtId="0" fontId="71" fillId="0" borderId="31" xfId="0" applyFont="1" applyBorder="1" applyAlignment="1" applyProtection="1">
      <alignment horizontal="left" vertical="top" wrapText="1" indent="3"/>
      <protection hidden="1"/>
    </xf>
    <xf numFmtId="0" fontId="55" fillId="0" borderId="31" xfId="0" applyFont="1" applyBorder="1" applyAlignment="1" applyProtection="1">
      <alignment horizontal="left" vertical="top" wrapText="1" indent="3"/>
      <protection hidden="1"/>
    </xf>
    <xf numFmtId="0" fontId="20" fillId="0" borderId="18" xfId="0" applyFont="1" applyBorder="1" applyAlignment="1" applyProtection="1">
      <alignment horizontal="left" shrinkToFit="1"/>
      <protection hidden="1"/>
    </xf>
    <xf numFmtId="0" fontId="111" fillId="3" borderId="30" xfId="0" applyFont="1" applyFill="1" applyBorder="1" applyAlignment="1">
      <alignment horizontal="center" vertical="center" wrapText="1"/>
    </xf>
    <xf numFmtId="0" fontId="111" fillId="3" borderId="8" xfId="0" applyFont="1" applyFill="1" applyBorder="1" applyAlignment="1">
      <alignment horizontal="center" vertical="center" wrapText="1"/>
    </xf>
    <xf numFmtId="0" fontId="114" fillId="3" borderId="23" xfId="0" applyFont="1" applyFill="1" applyBorder="1" applyAlignment="1">
      <alignment horizontal="center" vertical="center" wrapText="1"/>
    </xf>
    <xf numFmtId="0" fontId="114" fillId="3" borderId="10" xfId="0" applyFont="1" applyFill="1" applyBorder="1" applyAlignment="1">
      <alignment horizontal="center" vertical="center" wrapText="1"/>
    </xf>
    <xf numFmtId="0" fontId="111" fillId="3" borderId="21" xfId="0" applyFont="1" applyFill="1" applyBorder="1" applyAlignment="1">
      <alignment horizontal="center" vertical="center" wrapText="1"/>
    </xf>
    <xf numFmtId="0" fontId="111" fillId="3" borderId="22" xfId="0" applyFont="1" applyFill="1" applyBorder="1" applyAlignment="1">
      <alignment horizontal="center" vertical="center" wrapText="1"/>
    </xf>
    <xf numFmtId="0" fontId="111" fillId="3" borderId="13" xfId="0" applyFont="1" applyFill="1" applyBorder="1" applyAlignment="1">
      <alignment horizontal="center" vertical="center" wrapText="1"/>
    </xf>
    <xf numFmtId="0" fontId="111" fillId="3" borderId="23" xfId="0" applyFont="1" applyFill="1" applyBorder="1" applyAlignment="1">
      <alignment horizontal="center" vertical="center" wrapText="1"/>
    </xf>
    <xf numFmtId="0" fontId="111" fillId="3" borderId="19" xfId="0" applyFont="1" applyFill="1" applyBorder="1" applyAlignment="1">
      <alignment horizontal="center" vertical="center" wrapText="1"/>
    </xf>
    <xf numFmtId="0" fontId="111" fillId="3" borderId="24" xfId="0" applyFont="1" applyFill="1" applyBorder="1" applyAlignment="1">
      <alignment horizontal="center" vertical="center" wrapText="1"/>
    </xf>
    <xf numFmtId="0" fontId="111" fillId="3" borderId="18" xfId="0" applyFont="1" applyFill="1" applyBorder="1" applyAlignment="1">
      <alignment horizontal="center" vertical="center" wrapText="1"/>
    </xf>
    <xf numFmtId="0" fontId="111" fillId="3" borderId="12" xfId="0" applyFont="1" applyFill="1" applyBorder="1" applyAlignment="1">
      <alignment horizontal="center" vertical="center" wrapText="1"/>
    </xf>
    <xf numFmtId="0" fontId="111" fillId="3" borderId="16" xfId="0" applyFont="1" applyFill="1" applyBorder="1" applyAlignment="1">
      <alignment horizontal="center" vertical="center" wrapText="1"/>
    </xf>
    <xf numFmtId="0" fontId="71" fillId="0" borderId="27" xfId="0" applyFont="1" applyBorder="1" applyAlignment="1" applyProtection="1">
      <alignment horizontal="left" vertical="top" wrapText="1" indent="3"/>
      <protection hidden="1"/>
    </xf>
    <xf numFmtId="0" fontId="34" fillId="0" borderId="0" xfId="0" applyFont="1" applyBorder="1" applyAlignment="1" applyProtection="1">
      <alignment horizontal="left" vertical="top" wrapText="1" indent="3"/>
      <protection hidden="1"/>
    </xf>
    <xf numFmtId="0" fontId="34" fillId="0" borderId="28" xfId="0" applyFont="1" applyBorder="1" applyAlignment="1" applyProtection="1">
      <alignment horizontal="left" vertical="top" wrapText="1" indent="3"/>
      <protection hidden="1"/>
    </xf>
    <xf numFmtId="0" fontId="33" fillId="0" borderId="0" xfId="0" applyFont="1" applyAlignment="1" applyProtection="1">
      <alignment horizontal="left"/>
      <protection hidden="1"/>
    </xf>
    <xf numFmtId="0" fontId="41" fillId="0" borderId="0" xfId="0" applyFont="1" applyAlignment="1" applyProtection="1">
      <alignment horizontal="center"/>
      <protection hidden="1"/>
    </xf>
    <xf numFmtId="0" fontId="42" fillId="0" borderId="0" xfId="0" applyFont="1" applyAlignment="1" applyProtection="1">
      <alignment horizontal="center"/>
      <protection hidden="1"/>
    </xf>
    <xf numFmtId="0" fontId="71" fillId="5" borderId="54" xfId="0" applyFont="1" applyFill="1" applyBorder="1" applyAlignment="1" applyProtection="1">
      <alignment horizontal="left" vertical="center" wrapText="1" indent="1"/>
      <protection hidden="1"/>
    </xf>
    <xf numFmtId="0" fontId="71" fillId="5" borderId="0" xfId="0" applyFont="1" applyFill="1" applyBorder="1" applyAlignment="1" applyProtection="1">
      <alignment horizontal="left" vertical="center" wrapText="1" indent="1"/>
      <protection hidden="1"/>
    </xf>
    <xf numFmtId="0" fontId="71" fillId="5" borderId="55" xfId="0" applyFont="1" applyFill="1" applyBorder="1" applyAlignment="1" applyProtection="1">
      <alignment horizontal="left" vertical="center" wrapText="1" indent="1"/>
      <protection hidden="1"/>
    </xf>
    <xf numFmtId="0" fontId="102" fillId="5" borderId="54" xfId="0" applyFont="1" applyFill="1" applyBorder="1" applyAlignment="1" applyProtection="1">
      <alignment horizontal="left" vertical="center" wrapText="1" indent="1"/>
      <protection hidden="1"/>
    </xf>
    <xf numFmtId="0" fontId="102" fillId="5" borderId="0" xfId="0" applyFont="1" applyFill="1" applyBorder="1" applyAlignment="1" applyProtection="1">
      <alignment horizontal="left" vertical="center" wrapText="1" indent="1"/>
      <protection hidden="1"/>
    </xf>
    <xf numFmtId="0" fontId="102" fillId="5" borderId="55" xfId="0" applyFont="1" applyFill="1" applyBorder="1" applyAlignment="1" applyProtection="1">
      <alignment horizontal="left" vertical="center" wrapText="1" indent="1"/>
      <protection hidden="1"/>
    </xf>
    <xf numFmtId="0" fontId="55" fillId="5" borderId="0" xfId="0" applyFont="1" applyFill="1" applyAlignment="1" applyProtection="1">
      <alignment horizontal="left" vertical="center" wrapText="1" indent="1"/>
      <protection hidden="1"/>
    </xf>
    <xf numFmtId="0" fontId="117" fillId="5" borderId="51" xfId="0" applyFont="1" applyFill="1" applyBorder="1" applyAlignment="1" applyProtection="1">
      <alignment horizontal="left" vertical="center" indent="3"/>
      <protection hidden="1"/>
    </xf>
    <xf numFmtId="0" fontId="117" fillId="5" borderId="52" xfId="0" applyFont="1" applyFill="1" applyBorder="1" applyAlignment="1" applyProtection="1">
      <alignment horizontal="left" vertical="center" indent="3"/>
      <protection hidden="1"/>
    </xf>
    <xf numFmtId="0" fontId="117" fillId="5" borderId="53" xfId="0" applyFont="1" applyFill="1" applyBorder="1" applyAlignment="1" applyProtection="1">
      <alignment horizontal="left" vertical="center" indent="3"/>
      <protection hidden="1"/>
    </xf>
    <xf numFmtId="0" fontId="119" fillId="6" borderId="49" xfId="1" applyFont="1" applyFill="1" applyBorder="1" applyAlignment="1" applyProtection="1">
      <alignment horizontal="center" vertical="center" wrapText="1"/>
      <protection hidden="1"/>
    </xf>
    <xf numFmtId="0" fontId="140" fillId="6" borderId="49" xfId="1" applyFont="1" applyFill="1" applyBorder="1" applyAlignment="1" applyProtection="1">
      <alignment horizontal="center" vertical="center" wrapText="1"/>
      <protection hidden="1"/>
    </xf>
    <xf numFmtId="0" fontId="139" fillId="6" borderId="49" xfId="0" applyFont="1" applyFill="1" applyBorder="1" applyAlignment="1" applyProtection="1">
      <alignment horizontal="center" vertical="center" wrapText="1"/>
      <protection hidden="1"/>
    </xf>
    <xf numFmtId="0" fontId="107" fillId="12" borderId="49" xfId="0" applyFont="1" applyFill="1" applyBorder="1" applyAlignment="1" applyProtection="1">
      <alignment horizontal="center" vertical="center"/>
      <protection hidden="1"/>
    </xf>
    <xf numFmtId="0" fontId="85" fillId="12" borderId="51" xfId="0" applyFont="1" applyFill="1" applyBorder="1" applyAlignment="1" applyProtection="1">
      <alignment horizontal="center" vertical="center"/>
      <protection hidden="1"/>
    </xf>
    <xf numFmtId="0" fontId="85" fillId="12" borderId="52" xfId="0" applyFont="1" applyFill="1" applyBorder="1" applyAlignment="1" applyProtection="1">
      <alignment horizontal="center" vertical="center"/>
      <protection hidden="1"/>
    </xf>
    <xf numFmtId="0" fontId="85" fillId="12" borderId="53" xfId="0" applyFont="1" applyFill="1" applyBorder="1" applyAlignment="1" applyProtection="1">
      <alignment horizontal="center" vertical="center"/>
      <protection hidden="1"/>
    </xf>
    <xf numFmtId="0" fontId="111" fillId="3" borderId="11" xfId="0" applyFont="1" applyFill="1" applyBorder="1" applyAlignment="1">
      <alignment horizontal="center" vertical="center" wrapText="1"/>
    </xf>
    <xf numFmtId="0" fontId="111" fillId="3" borderId="46" xfId="0" applyFont="1" applyFill="1" applyBorder="1" applyAlignment="1">
      <alignment horizontal="center" vertical="center" wrapText="1"/>
    </xf>
    <xf numFmtId="0" fontId="111" fillId="3" borderId="20" xfId="0" applyFont="1" applyFill="1" applyBorder="1" applyAlignment="1">
      <alignment horizontal="center" vertical="center" wrapText="1"/>
    </xf>
    <xf numFmtId="0" fontId="85" fillId="12" borderId="49" xfId="0" applyFont="1" applyFill="1" applyBorder="1" applyAlignment="1" applyProtection="1">
      <alignment horizontal="center" vertical="center"/>
      <protection hidden="1"/>
    </xf>
    <xf numFmtId="0" fontId="85" fillId="12" borderId="69" xfId="0" applyFont="1" applyFill="1" applyBorder="1" applyAlignment="1" applyProtection="1">
      <alignment horizontal="center" vertical="center"/>
      <protection hidden="1"/>
    </xf>
    <xf numFmtId="0" fontId="52" fillId="3" borderId="12" xfId="0" applyFont="1" applyFill="1" applyBorder="1" applyAlignment="1">
      <alignment horizontal="center" vertical="center" wrapText="1"/>
    </xf>
    <xf numFmtId="0" fontId="52" fillId="3" borderId="16" xfId="0" applyFont="1" applyFill="1" applyBorder="1" applyAlignment="1">
      <alignment horizontal="center" vertical="center" wrapText="1"/>
    </xf>
    <xf numFmtId="0" fontId="52" fillId="3" borderId="17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 applyProtection="1">
      <alignment horizontal="left" wrapText="1"/>
      <protection hidden="1"/>
    </xf>
    <xf numFmtId="0" fontId="34" fillId="0" borderId="7" xfId="0" applyFont="1" applyFill="1" applyBorder="1" applyAlignment="1" applyProtection="1">
      <alignment horizontal="left" wrapText="1"/>
      <protection hidden="1"/>
    </xf>
    <xf numFmtId="0" fontId="34" fillId="0" borderId="8" xfId="0" applyFont="1" applyFill="1" applyBorder="1" applyAlignment="1" applyProtection="1">
      <alignment horizontal="left" wrapText="1"/>
      <protection hidden="1"/>
    </xf>
    <xf numFmtId="0" fontId="55" fillId="0" borderId="63" xfId="0" applyFont="1" applyFill="1" applyBorder="1" applyAlignment="1" applyProtection="1">
      <alignment horizontal="left" vertical="top" wrapText="1" indent="1"/>
      <protection hidden="1"/>
    </xf>
    <xf numFmtId="0" fontId="55" fillId="0" borderId="44" xfId="0" applyFont="1" applyFill="1" applyBorder="1" applyAlignment="1" applyProtection="1">
      <alignment horizontal="left" vertical="top" wrapText="1" indent="1"/>
      <protection hidden="1"/>
    </xf>
    <xf numFmtId="0" fontId="55" fillId="0" borderId="45" xfId="0" applyFont="1" applyFill="1" applyBorder="1" applyAlignment="1" applyProtection="1">
      <alignment horizontal="left" vertical="top" wrapText="1" indent="1"/>
      <protection hidden="1"/>
    </xf>
    <xf numFmtId="0" fontId="71" fillId="0" borderId="27" xfId="0" applyFont="1" applyFill="1" applyBorder="1" applyAlignment="1" applyProtection="1">
      <alignment horizontal="left" vertical="top" wrapText="1" indent="3"/>
      <protection hidden="1"/>
    </xf>
    <xf numFmtId="0" fontId="55" fillId="0" borderId="0" xfId="0" applyFont="1" applyFill="1" applyBorder="1" applyAlignment="1" applyProtection="1">
      <alignment horizontal="left" vertical="top" wrapText="1" indent="3"/>
      <protection hidden="1"/>
    </xf>
    <xf numFmtId="0" fontId="55" fillId="0" borderId="28" xfId="0" applyFont="1" applyFill="1" applyBorder="1" applyAlignment="1" applyProtection="1">
      <alignment horizontal="left" vertical="top" wrapText="1" indent="3"/>
      <protection hidden="1"/>
    </xf>
    <xf numFmtId="0" fontId="35" fillId="5" borderId="54" xfId="0" applyFont="1" applyFill="1" applyBorder="1" applyAlignment="1" applyProtection="1">
      <alignment horizontal="left" vertical="center" wrapText="1" indent="1"/>
      <protection hidden="1"/>
    </xf>
    <xf numFmtId="0" fontId="35" fillId="5" borderId="0" xfId="0" applyFont="1" applyFill="1" applyBorder="1" applyAlignment="1" applyProtection="1">
      <alignment horizontal="left" vertical="center" wrapText="1" indent="1"/>
      <protection hidden="1"/>
    </xf>
    <xf numFmtId="0" fontId="35" fillId="5" borderId="55" xfId="0" applyFont="1" applyFill="1" applyBorder="1" applyAlignment="1" applyProtection="1">
      <alignment horizontal="left" vertical="center" wrapText="1" indent="1"/>
      <protection hidden="1"/>
    </xf>
    <xf numFmtId="0" fontId="119" fillId="6" borderId="2" xfId="1" applyFont="1" applyFill="1" applyBorder="1" applyAlignment="1" applyProtection="1">
      <alignment horizontal="center" vertical="center" wrapText="1"/>
      <protection hidden="1"/>
    </xf>
    <xf numFmtId="0" fontId="34" fillId="0" borderId="9" xfId="0" applyFont="1" applyFill="1" applyBorder="1" applyAlignment="1" applyProtection="1">
      <alignment horizontal="left"/>
      <protection hidden="1"/>
    </xf>
    <xf numFmtId="0" fontId="55" fillId="0" borderId="27" xfId="0" applyFont="1" applyFill="1" applyBorder="1" applyAlignment="1" applyProtection="1">
      <alignment horizontal="left" vertical="top" wrapText="1" indent="3"/>
      <protection hidden="1"/>
    </xf>
    <xf numFmtId="0" fontId="35" fillId="5" borderId="54" xfId="0" applyFont="1" applyFill="1" applyBorder="1" applyAlignment="1" applyProtection="1">
      <alignment horizontal="left" vertical="top" wrapText="1" indent="1"/>
      <protection hidden="1"/>
    </xf>
    <xf numFmtId="0" fontId="35" fillId="5" borderId="0" xfId="0" applyFont="1" applyFill="1" applyBorder="1" applyAlignment="1" applyProtection="1">
      <alignment horizontal="left" vertical="top" wrapText="1" indent="1"/>
      <protection hidden="1"/>
    </xf>
    <xf numFmtId="0" fontId="35" fillId="5" borderId="55" xfId="0" applyFont="1" applyFill="1" applyBorder="1" applyAlignment="1" applyProtection="1">
      <alignment horizontal="left" vertical="top" wrapText="1" indent="1"/>
      <protection hidden="1"/>
    </xf>
    <xf numFmtId="0" fontId="54" fillId="5" borderId="54" xfId="0" applyFont="1" applyFill="1" applyBorder="1" applyAlignment="1" applyProtection="1">
      <alignment horizontal="left" vertical="center" wrapText="1" indent="1"/>
      <protection hidden="1"/>
    </xf>
    <xf numFmtId="0" fontId="54" fillId="5" borderId="0" xfId="0" applyFont="1" applyFill="1" applyBorder="1" applyAlignment="1" applyProtection="1">
      <alignment horizontal="left" vertical="center" wrapText="1" indent="1"/>
      <protection hidden="1"/>
    </xf>
    <xf numFmtId="0" fontId="54" fillId="5" borderId="55" xfId="0" applyFont="1" applyFill="1" applyBorder="1" applyAlignment="1" applyProtection="1">
      <alignment horizontal="left" vertical="center" wrapText="1" indent="1"/>
      <protection hidden="1"/>
    </xf>
    <xf numFmtId="0" fontId="36" fillId="5" borderId="54" xfId="0" applyFont="1" applyFill="1" applyBorder="1" applyAlignment="1" applyProtection="1">
      <alignment horizontal="left" vertical="center" wrapText="1" indent="1"/>
      <protection hidden="1"/>
    </xf>
    <xf numFmtId="0" fontId="36" fillId="5" borderId="0" xfId="0" applyFont="1" applyFill="1" applyBorder="1" applyAlignment="1" applyProtection="1">
      <alignment horizontal="left" vertical="center" wrapText="1" indent="1"/>
      <protection hidden="1"/>
    </xf>
    <xf numFmtId="0" fontId="36" fillId="5" borderId="55" xfId="0" applyFont="1" applyFill="1" applyBorder="1" applyAlignment="1" applyProtection="1">
      <alignment horizontal="left" vertical="center" wrapText="1" indent="1"/>
      <protection hidden="1"/>
    </xf>
    <xf numFmtId="0" fontId="118" fillId="5" borderId="51" xfId="0" applyFont="1" applyFill="1" applyBorder="1" applyAlignment="1" applyProtection="1">
      <alignment horizontal="left" vertical="center" indent="3"/>
      <protection hidden="1"/>
    </xf>
    <xf numFmtId="0" fontId="118" fillId="5" borderId="52" xfId="0" applyFont="1" applyFill="1" applyBorder="1" applyAlignment="1" applyProtection="1">
      <alignment horizontal="left" vertical="center" indent="3"/>
      <protection hidden="1"/>
    </xf>
    <xf numFmtId="0" fontId="118" fillId="5" borderId="53" xfId="0" applyFont="1" applyFill="1" applyBorder="1" applyAlignment="1" applyProtection="1">
      <alignment horizontal="left" vertical="center" indent="3"/>
      <protection hidden="1"/>
    </xf>
    <xf numFmtId="0" fontId="52" fillId="10" borderId="13" xfId="2" applyFont="1" applyBorder="1">
      <alignment horizontal="center" vertical="center" wrapText="1"/>
    </xf>
    <xf numFmtId="0" fontId="52" fillId="10" borderId="20" xfId="2" applyFont="1" applyBorder="1">
      <alignment horizontal="center" vertical="center" wrapText="1"/>
    </xf>
    <xf numFmtId="0" fontId="52" fillId="10" borderId="30" xfId="2" applyFont="1" applyBorder="1">
      <alignment horizontal="center" vertical="center" wrapText="1"/>
    </xf>
    <xf numFmtId="0" fontId="52" fillId="10" borderId="22" xfId="2" applyFont="1" applyBorder="1">
      <alignment horizontal="center" vertical="center" wrapText="1"/>
    </xf>
    <xf numFmtId="0" fontId="52" fillId="10" borderId="23" xfId="2" applyFont="1" applyBorder="1">
      <alignment horizontal="center" vertical="center" wrapText="1"/>
    </xf>
    <xf numFmtId="0" fontId="52" fillId="10" borderId="21" xfId="2" applyFont="1" applyBorder="1">
      <alignment horizontal="center" vertical="center" wrapText="1"/>
    </xf>
    <xf numFmtId="0" fontId="52" fillId="10" borderId="24" xfId="2" applyFont="1" applyBorder="1">
      <alignment horizontal="center" vertical="center" wrapText="1"/>
    </xf>
    <xf numFmtId="0" fontId="52" fillId="10" borderId="18" xfId="2" applyFont="1" applyBorder="1">
      <alignment horizontal="center" vertical="center" wrapText="1"/>
    </xf>
    <xf numFmtId="0" fontId="80" fillId="12" borderId="51" xfId="0" applyFont="1" applyFill="1" applyBorder="1" applyAlignment="1" applyProtection="1">
      <alignment horizontal="center" vertical="center"/>
      <protection hidden="1"/>
    </xf>
    <xf numFmtId="0" fontId="80" fillId="12" borderId="52" xfId="0" applyFont="1" applyFill="1" applyBorder="1" applyAlignment="1" applyProtection="1">
      <alignment horizontal="center" vertical="center"/>
      <protection hidden="1"/>
    </xf>
    <xf numFmtId="0" fontId="80" fillId="12" borderId="53" xfId="0" applyFont="1" applyFill="1" applyBorder="1" applyAlignment="1" applyProtection="1">
      <alignment horizontal="center" vertical="center"/>
      <protection hidden="1"/>
    </xf>
    <xf numFmtId="0" fontId="52" fillId="10" borderId="17" xfId="2" applyFont="1" applyBorder="1">
      <alignment horizontal="center" vertical="center" wrapText="1"/>
    </xf>
    <xf numFmtId="0" fontId="52" fillId="10" borderId="19" xfId="2" applyFont="1" applyBorder="1">
      <alignment horizontal="center" vertical="center" wrapText="1"/>
    </xf>
    <xf numFmtId="0" fontId="109" fillId="3" borderId="22" xfId="1" applyFont="1" applyFill="1" applyBorder="1" applyAlignment="1">
      <alignment horizontal="center" vertical="center" wrapText="1"/>
    </xf>
    <xf numFmtId="0" fontId="109" fillId="3" borderId="13" xfId="1" applyFont="1" applyFill="1" applyBorder="1" applyAlignment="1">
      <alignment horizontal="center" vertical="center" wrapText="1"/>
    </xf>
    <xf numFmtId="0" fontId="85" fillId="12" borderId="50" xfId="0" applyFont="1" applyFill="1" applyBorder="1" applyAlignment="1" applyProtection="1">
      <alignment horizontal="center" vertical="center"/>
      <protection hidden="1"/>
    </xf>
    <xf numFmtId="0" fontId="63" fillId="0" borderId="63" xfId="0" applyFont="1" applyFill="1" applyBorder="1" applyAlignment="1" applyProtection="1">
      <alignment horizontal="left" vertical="top" wrapText="1" indent="3"/>
      <protection hidden="1"/>
    </xf>
    <xf numFmtId="0" fontId="63" fillId="0" borderId="44" xfId="0" applyFont="1" applyFill="1" applyBorder="1" applyAlignment="1" applyProtection="1">
      <alignment horizontal="left" vertical="top" wrapText="1" indent="3"/>
      <protection hidden="1"/>
    </xf>
    <xf numFmtId="0" fontId="63" fillId="0" borderId="45" xfId="0" applyFont="1" applyFill="1" applyBorder="1" applyAlignment="1" applyProtection="1">
      <alignment horizontal="left" vertical="top" wrapText="1" indent="3"/>
      <protection hidden="1"/>
    </xf>
    <xf numFmtId="0" fontId="52" fillId="10" borderId="57" xfId="0" applyFont="1" applyFill="1" applyBorder="1" applyAlignment="1">
      <alignment horizontal="center" vertical="center" wrapText="1"/>
    </xf>
    <xf numFmtId="0" fontId="52" fillId="10" borderId="38" xfId="0" applyFont="1" applyFill="1" applyBorder="1" applyAlignment="1">
      <alignment horizontal="center" vertical="center" wrapText="1"/>
    </xf>
    <xf numFmtId="0" fontId="35" fillId="0" borderId="27" xfId="0" applyFont="1" applyFill="1" applyBorder="1" applyAlignment="1" applyProtection="1">
      <alignment horizontal="left" vertical="top" wrapText="1" indent="1"/>
      <protection hidden="1"/>
    </xf>
    <xf numFmtId="0" fontId="34" fillId="0" borderId="0" xfId="0" applyFont="1" applyFill="1" applyBorder="1" applyAlignment="1" applyProtection="1">
      <alignment horizontal="left" vertical="top" wrapText="1" indent="1"/>
      <protection hidden="1"/>
    </xf>
    <xf numFmtId="0" fontId="34" fillId="0" borderId="28" xfId="0" applyFont="1" applyFill="1" applyBorder="1" applyAlignment="1" applyProtection="1">
      <alignment horizontal="left" vertical="top" wrapText="1" indent="1"/>
      <protection hidden="1"/>
    </xf>
    <xf numFmtId="0" fontId="109" fillId="10" borderId="22" xfId="1" applyFont="1" applyFill="1" applyBorder="1" applyAlignment="1">
      <alignment horizontal="center" vertical="center" wrapText="1"/>
    </xf>
    <xf numFmtId="0" fontId="109" fillId="10" borderId="18" xfId="1" applyFont="1" applyFill="1" applyBorder="1" applyAlignment="1">
      <alignment horizontal="center" vertical="center" wrapText="1"/>
    </xf>
    <xf numFmtId="0" fontId="109" fillId="10" borderId="23" xfId="1" applyFont="1" applyFill="1" applyBorder="1" applyAlignment="1">
      <alignment horizontal="center" vertical="center"/>
    </xf>
    <xf numFmtId="0" fontId="109" fillId="10" borderId="19" xfId="1" applyFont="1" applyFill="1" applyBorder="1" applyAlignment="1">
      <alignment horizontal="center" vertical="center"/>
    </xf>
    <xf numFmtId="0" fontId="108" fillId="3" borderId="60" xfId="1" applyFont="1" applyFill="1" applyBorder="1" applyAlignment="1">
      <alignment horizontal="center" vertical="center" wrapText="1"/>
    </xf>
    <xf numFmtId="0" fontId="108" fillId="3" borderId="63" xfId="1" applyFont="1" applyFill="1" applyBorder="1" applyAlignment="1">
      <alignment horizontal="center" vertical="center" wrapText="1"/>
    </xf>
    <xf numFmtId="0" fontId="39" fillId="10" borderId="61" xfId="1" applyFont="1" applyFill="1" applyBorder="1" applyAlignment="1">
      <alignment horizontal="center" vertical="center" wrapText="1"/>
    </xf>
    <xf numFmtId="0" fontId="39" fillId="10" borderId="62" xfId="1" applyFont="1" applyFill="1" applyBorder="1" applyAlignment="1">
      <alignment horizontal="center" vertical="center" wrapText="1"/>
    </xf>
    <xf numFmtId="0" fontId="39" fillId="10" borderId="64" xfId="1" applyFont="1" applyFill="1" applyBorder="1" applyAlignment="1">
      <alignment horizontal="center" vertical="center" wrapText="1"/>
    </xf>
    <xf numFmtId="0" fontId="39" fillId="3" borderId="60" xfId="1" applyFont="1" applyFill="1" applyBorder="1" applyAlignment="1">
      <alignment horizontal="center" vertical="center" wrapText="1"/>
    </xf>
    <xf numFmtId="0" fontId="39" fillId="3" borderId="27" xfId="1" applyFont="1" applyFill="1" applyBorder="1" applyAlignment="1">
      <alignment horizontal="center" vertical="center" wrapText="1"/>
    </xf>
    <xf numFmtId="0" fontId="52" fillId="3" borderId="11" xfId="0" applyFont="1" applyFill="1" applyBorder="1" applyAlignment="1">
      <alignment horizontal="center" vertical="center" wrapText="1"/>
    </xf>
    <xf numFmtId="0" fontId="52" fillId="3" borderId="15" xfId="0" applyFont="1" applyFill="1" applyBorder="1" applyAlignment="1">
      <alignment horizontal="center" vertical="center" wrapText="1"/>
    </xf>
    <xf numFmtId="0" fontId="112" fillId="3" borderId="24" xfId="0" applyFont="1" applyFill="1" applyBorder="1" applyAlignment="1">
      <alignment horizontal="center" vertical="center" wrapText="1"/>
    </xf>
    <xf numFmtId="0" fontId="39" fillId="10" borderId="11" xfId="1" applyFont="1" applyFill="1" applyBorder="1" applyAlignment="1">
      <alignment horizontal="center" vertical="center" wrapText="1"/>
    </xf>
    <xf numFmtId="0" fontId="39" fillId="10" borderId="12" xfId="1" applyFont="1" applyFill="1" applyBorder="1" applyAlignment="1">
      <alignment horizontal="center" vertical="center" wrapText="1"/>
    </xf>
    <xf numFmtId="0" fontId="39" fillId="10" borderId="46" xfId="1" applyFont="1" applyFill="1" applyBorder="1" applyAlignment="1">
      <alignment horizontal="center" vertical="center" wrapText="1"/>
    </xf>
    <xf numFmtId="0" fontId="52" fillId="10" borderId="23" xfId="0" applyFont="1" applyFill="1" applyBorder="1" applyAlignment="1">
      <alignment horizontal="center" vertical="center" wrapText="1"/>
    </xf>
    <xf numFmtId="0" fontId="81" fillId="12" borderId="51" xfId="0" applyFont="1" applyFill="1" applyBorder="1" applyAlignment="1" applyProtection="1">
      <alignment horizontal="center" wrapText="1"/>
      <protection hidden="1"/>
    </xf>
    <xf numFmtId="0" fontId="81" fillId="12" borderId="52" xfId="0" applyFont="1" applyFill="1" applyBorder="1" applyAlignment="1" applyProtection="1">
      <alignment horizontal="center" wrapText="1"/>
      <protection hidden="1"/>
    </xf>
    <xf numFmtId="0" fontId="81" fillId="12" borderId="53" xfId="0" applyFont="1" applyFill="1" applyBorder="1" applyAlignment="1" applyProtection="1">
      <alignment horizontal="center" wrapText="1"/>
      <protection hidden="1"/>
    </xf>
    <xf numFmtId="0" fontId="72" fillId="5" borderId="54" xfId="0" applyFont="1" applyFill="1" applyBorder="1" applyAlignment="1" applyProtection="1">
      <alignment horizontal="left" vertical="center" indent="1"/>
      <protection hidden="1"/>
    </xf>
    <xf numFmtId="0" fontId="72" fillId="5" borderId="0" xfId="0" applyFont="1" applyFill="1" applyBorder="1" applyAlignment="1" applyProtection="1">
      <alignment horizontal="left" vertical="center" indent="1"/>
      <protection hidden="1"/>
    </xf>
    <xf numFmtId="0" fontId="72" fillId="5" borderId="55" xfId="0" applyFont="1" applyFill="1" applyBorder="1" applyAlignment="1" applyProtection="1">
      <alignment horizontal="left" vertical="center" indent="1"/>
      <protection hidden="1"/>
    </xf>
    <xf numFmtId="0" fontId="55" fillId="5" borderId="54" xfId="0" applyFont="1" applyFill="1" applyBorder="1" applyAlignment="1" applyProtection="1">
      <alignment horizontal="left" vertical="center" indent="3"/>
      <protection hidden="1"/>
    </xf>
    <xf numFmtId="0" fontId="55" fillId="5" borderId="0" xfId="0" applyFont="1" applyFill="1" applyBorder="1" applyAlignment="1" applyProtection="1">
      <alignment horizontal="left" vertical="center" indent="3"/>
      <protection hidden="1"/>
    </xf>
    <xf numFmtId="0" fontId="55" fillId="5" borderId="55" xfId="0" applyFont="1" applyFill="1" applyBorder="1" applyAlignment="1" applyProtection="1">
      <alignment horizontal="left" vertical="center" indent="3"/>
      <protection hidden="1"/>
    </xf>
    <xf numFmtId="0" fontId="55" fillId="5" borderId="43" xfId="0" applyFont="1" applyFill="1" applyBorder="1" applyAlignment="1" applyProtection="1">
      <alignment horizontal="left" vertical="center" indent="3"/>
      <protection hidden="1"/>
    </xf>
    <xf numFmtId="0" fontId="55" fillId="5" borderId="44" xfId="0" applyFont="1" applyFill="1" applyBorder="1" applyAlignment="1" applyProtection="1">
      <alignment horizontal="left" vertical="center" indent="3"/>
      <protection hidden="1"/>
    </xf>
    <xf numFmtId="0" fontId="55" fillId="5" borderId="56" xfId="0" applyFont="1" applyFill="1" applyBorder="1" applyAlignment="1" applyProtection="1">
      <alignment horizontal="left" vertical="center" indent="3"/>
      <protection hidden="1"/>
    </xf>
    <xf numFmtId="0" fontId="144" fillId="6" borderId="2" xfId="1" applyFont="1" applyFill="1" applyBorder="1" applyAlignment="1" applyProtection="1">
      <alignment horizontal="center" vertical="center" wrapText="1"/>
      <protection hidden="1"/>
    </xf>
    <xf numFmtId="0" fontId="119" fillId="6" borderId="2" xfId="1" applyFont="1" applyFill="1" applyBorder="1" applyAlignment="1" applyProtection="1">
      <alignment horizontal="center" vertical="center"/>
      <protection hidden="1"/>
    </xf>
    <xf numFmtId="0" fontId="69" fillId="3" borderId="46" xfId="1" applyFont="1" applyFill="1" applyBorder="1" applyAlignment="1">
      <alignment horizontal="center" vertical="center" wrapText="1"/>
    </xf>
    <xf numFmtId="0" fontId="69" fillId="3" borderId="35" xfId="1" applyFont="1" applyFill="1" applyBorder="1" applyAlignment="1">
      <alignment horizontal="center" vertical="center" wrapText="1"/>
    </xf>
    <xf numFmtId="0" fontId="62" fillId="3" borderId="57" xfId="0" applyFont="1" applyFill="1" applyBorder="1" applyAlignment="1">
      <alignment horizontal="center" vertical="center"/>
    </xf>
    <xf numFmtId="0" fontId="62" fillId="3" borderId="38" xfId="0" applyFont="1" applyFill="1" applyBorder="1" applyAlignment="1">
      <alignment horizontal="center" vertical="center"/>
    </xf>
    <xf numFmtId="0" fontId="62" fillId="3" borderId="23" xfId="0" applyFont="1" applyFill="1" applyBorder="1" applyAlignment="1">
      <alignment horizontal="center" vertical="center" wrapText="1"/>
    </xf>
    <xf numFmtId="0" fontId="62" fillId="3" borderId="19" xfId="0" applyFont="1" applyFill="1" applyBorder="1" applyAlignment="1">
      <alignment horizontal="center" vertical="center" wrapText="1"/>
    </xf>
    <xf numFmtId="0" fontId="62" fillId="3" borderId="22" xfId="0" applyFont="1" applyFill="1" applyBorder="1" applyAlignment="1">
      <alignment horizontal="center" vertical="center"/>
    </xf>
    <xf numFmtId="0" fontId="62" fillId="3" borderId="18" xfId="0" applyFont="1" applyFill="1" applyBorder="1" applyAlignment="1">
      <alignment horizontal="center" vertical="center"/>
    </xf>
    <xf numFmtId="0" fontId="62" fillId="3" borderId="21" xfId="0" applyFont="1" applyFill="1" applyBorder="1" applyAlignment="1">
      <alignment horizontal="center" vertical="center"/>
    </xf>
    <xf numFmtId="0" fontId="62" fillId="3" borderId="24" xfId="0" applyFont="1" applyFill="1" applyBorder="1" applyAlignment="1">
      <alignment horizontal="center" vertical="center"/>
    </xf>
    <xf numFmtId="0" fontId="64" fillId="0" borderId="4" xfId="0" applyFont="1" applyBorder="1" applyAlignment="1" applyProtection="1">
      <alignment horizontal="center" vertical="center" wrapText="1"/>
      <protection hidden="1"/>
    </xf>
    <xf numFmtId="0" fontId="43" fillId="0" borderId="0" xfId="0" applyFont="1" applyAlignment="1" applyProtection="1">
      <alignment horizontal="center"/>
      <protection hidden="1"/>
    </xf>
    <xf numFmtId="0" fontId="55" fillId="5" borderId="54" xfId="0" applyFont="1" applyFill="1" applyBorder="1" applyAlignment="1" applyProtection="1">
      <alignment horizontal="left" vertical="center" wrapText="1" indent="3"/>
      <protection hidden="1"/>
    </xf>
    <xf numFmtId="0" fontId="55" fillId="5" borderId="0" xfId="0" applyFont="1" applyFill="1" applyBorder="1" applyAlignment="1" applyProtection="1">
      <alignment horizontal="left" vertical="center" wrapText="1" indent="3"/>
      <protection hidden="1"/>
    </xf>
    <xf numFmtId="0" fontId="55" fillId="5" borderId="55" xfId="0" applyFont="1" applyFill="1" applyBorder="1" applyAlignment="1" applyProtection="1">
      <alignment horizontal="left" vertical="center" wrapText="1" indent="3"/>
      <protection hidden="1"/>
    </xf>
    <xf numFmtId="0" fontId="40" fillId="0" borderId="10" xfId="0" applyFont="1" applyBorder="1" applyAlignment="1" applyProtection="1">
      <alignment horizontal="left" wrapText="1"/>
      <protection hidden="1"/>
    </xf>
    <xf numFmtId="0" fontId="40" fillId="0" borderId="7" xfId="0" applyFont="1" applyBorder="1" applyAlignment="1" applyProtection="1">
      <alignment horizontal="left" wrapText="1"/>
      <protection hidden="1"/>
    </xf>
    <xf numFmtId="0" fontId="40" fillId="0" borderId="8" xfId="0" applyFont="1" applyBorder="1" applyAlignment="1" applyProtection="1">
      <alignment horizontal="left" wrapText="1"/>
      <protection hidden="1"/>
    </xf>
    <xf numFmtId="0" fontId="116" fillId="0" borderId="63" xfId="0" applyFont="1" applyBorder="1" applyAlignment="1" applyProtection="1">
      <alignment horizontal="left" wrapText="1" indent="1"/>
      <protection hidden="1"/>
    </xf>
    <xf numFmtId="0" fontId="116" fillId="0" borderId="44" xfId="0" applyFont="1" applyBorder="1" applyAlignment="1" applyProtection="1">
      <alignment horizontal="left" wrapText="1" indent="1"/>
      <protection hidden="1"/>
    </xf>
    <xf numFmtId="0" fontId="116" fillId="0" borderId="45" xfId="0" applyFont="1" applyBorder="1" applyAlignment="1" applyProtection="1">
      <alignment horizontal="left" wrapText="1" indent="1"/>
      <protection hidden="1"/>
    </xf>
    <xf numFmtId="0" fontId="40" fillId="0" borderId="10" xfId="0" applyFont="1" applyBorder="1" applyAlignment="1" applyProtection="1">
      <alignment horizontal="left"/>
      <protection hidden="1"/>
    </xf>
    <xf numFmtId="0" fontId="40" fillId="0" borderId="7" xfId="0" applyFont="1" applyBorder="1" applyAlignment="1" applyProtection="1">
      <alignment horizontal="left"/>
      <protection hidden="1"/>
    </xf>
    <xf numFmtId="0" fontId="40" fillId="0" borderId="8" xfId="0" applyFont="1" applyBorder="1" applyAlignment="1" applyProtection="1">
      <alignment horizontal="left"/>
      <protection hidden="1"/>
    </xf>
    <xf numFmtId="0" fontId="62" fillId="3" borderId="13" xfId="0" applyFont="1" applyFill="1" applyBorder="1" applyAlignment="1">
      <alignment horizontal="center" vertical="center"/>
    </xf>
    <xf numFmtId="0" fontId="66" fillId="0" borderId="9" xfId="0" applyFont="1" applyBorder="1" applyAlignment="1">
      <alignment horizontal="left"/>
    </xf>
    <xf numFmtId="0" fontId="67" fillId="0" borderId="9" xfId="0" applyFont="1" applyBorder="1" applyAlignment="1">
      <alignment horizontal="left"/>
    </xf>
    <xf numFmtId="0" fontId="62" fillId="3" borderId="57" xfId="0" applyFont="1" applyFill="1" applyBorder="1" applyAlignment="1">
      <alignment horizontal="center" vertical="center" wrapText="1"/>
    </xf>
    <xf numFmtId="0" fontId="62" fillId="3" borderId="38" xfId="0" applyFont="1" applyFill="1" applyBorder="1" applyAlignment="1">
      <alignment horizontal="center" vertical="center" wrapText="1"/>
    </xf>
    <xf numFmtId="0" fontId="62" fillId="3" borderId="53" xfId="0" applyFont="1" applyFill="1" applyBorder="1" applyAlignment="1">
      <alignment horizontal="center" vertical="center" wrapText="1"/>
    </xf>
    <xf numFmtId="0" fontId="62" fillId="3" borderId="55" xfId="0" applyFont="1" applyFill="1" applyBorder="1" applyAlignment="1">
      <alignment horizontal="center" vertical="center" wrapText="1"/>
    </xf>
    <xf numFmtId="0" fontId="62" fillId="3" borderId="13" xfId="0" applyFont="1" applyFill="1" applyBorder="1" applyAlignment="1">
      <alignment horizontal="center" vertical="center" wrapText="1"/>
    </xf>
    <xf numFmtId="0" fontId="62" fillId="3" borderId="20" xfId="0" applyFont="1" applyFill="1" applyBorder="1" applyAlignment="1">
      <alignment horizontal="center" vertical="center" wrapText="1"/>
    </xf>
    <xf numFmtId="0" fontId="62" fillId="3" borderId="22" xfId="0" applyFont="1" applyFill="1" applyBorder="1" applyAlignment="1">
      <alignment horizontal="center" vertical="center" wrapText="1"/>
    </xf>
    <xf numFmtId="0" fontId="62" fillId="3" borderId="18" xfId="0" applyFont="1" applyFill="1" applyBorder="1" applyAlignment="1">
      <alignment horizontal="center" vertical="center" wrapText="1"/>
    </xf>
    <xf numFmtId="0" fontId="62" fillId="3" borderId="21" xfId="0" applyFont="1" applyFill="1" applyBorder="1" applyAlignment="1">
      <alignment horizontal="center" vertical="center" wrapText="1"/>
    </xf>
    <xf numFmtId="0" fontId="62" fillId="3" borderId="24" xfId="0" applyFont="1" applyFill="1" applyBorder="1" applyAlignment="1">
      <alignment horizontal="center" vertical="center" wrapText="1"/>
    </xf>
    <xf numFmtId="0" fontId="62" fillId="3" borderId="12" xfId="0" applyFont="1" applyFill="1" applyBorder="1" applyAlignment="1">
      <alignment horizontal="center" vertical="center" wrapText="1"/>
    </xf>
    <xf numFmtId="0" fontId="62" fillId="3" borderId="16" xfId="0" applyFont="1" applyFill="1" applyBorder="1" applyAlignment="1">
      <alignment horizontal="center" vertical="center" wrapText="1"/>
    </xf>
    <xf numFmtId="0" fontId="62" fillId="3" borderId="11" xfId="0" applyFont="1" applyFill="1" applyBorder="1" applyAlignment="1">
      <alignment horizontal="center" vertical="center" wrapText="1"/>
    </xf>
    <xf numFmtId="0" fontId="62" fillId="3" borderId="15" xfId="0" applyFont="1" applyFill="1" applyBorder="1" applyAlignment="1">
      <alignment horizontal="center" vertical="center" wrapText="1"/>
    </xf>
    <xf numFmtId="0" fontId="62" fillId="5" borderId="54" xfId="0" applyFont="1" applyFill="1" applyBorder="1" applyAlignment="1">
      <alignment horizontal="left" vertical="center" indent="1"/>
    </xf>
    <xf numFmtId="0" fontId="63" fillId="5" borderId="0" xfId="0" applyFont="1" applyFill="1" applyBorder="1" applyAlignment="1">
      <alignment horizontal="left" vertical="center" indent="1"/>
    </xf>
    <xf numFmtId="0" fontId="63" fillId="5" borderId="55" xfId="0" applyFont="1" applyFill="1" applyBorder="1" applyAlignment="1">
      <alignment horizontal="left" vertical="center" indent="1"/>
    </xf>
    <xf numFmtId="0" fontId="63" fillId="5" borderId="54" xfId="0" applyFont="1" applyFill="1" applyBorder="1" applyAlignment="1">
      <alignment horizontal="left" vertical="center" indent="1"/>
    </xf>
    <xf numFmtId="0" fontId="63" fillId="5" borderId="54" xfId="0" applyFont="1" applyFill="1" applyBorder="1" applyAlignment="1">
      <alignment horizontal="left" vertical="center" wrapText="1" indent="1"/>
    </xf>
    <xf numFmtId="0" fontId="63" fillId="5" borderId="0" xfId="0" applyFont="1" applyFill="1" applyBorder="1" applyAlignment="1">
      <alignment horizontal="left" vertical="center" wrapText="1" indent="1"/>
    </xf>
    <xf numFmtId="0" fontId="63" fillId="5" borderId="55" xfId="0" applyFont="1" applyFill="1" applyBorder="1" applyAlignment="1">
      <alignment horizontal="left" vertical="center" wrapText="1" indent="1"/>
    </xf>
    <xf numFmtId="0" fontId="69" fillId="5" borderId="54" xfId="0" applyFont="1" applyFill="1" applyBorder="1" applyAlignment="1">
      <alignment horizontal="left" vertical="center" wrapText="1" indent="1"/>
    </xf>
    <xf numFmtId="0" fontId="69" fillId="5" borderId="0" xfId="0" applyFont="1" applyFill="1" applyBorder="1" applyAlignment="1">
      <alignment horizontal="left" vertical="center" wrapText="1" indent="1"/>
    </xf>
    <xf numFmtId="0" fontId="69" fillId="5" borderId="55" xfId="0" applyFont="1" applyFill="1" applyBorder="1" applyAlignment="1">
      <alignment horizontal="left" vertical="center" wrapText="1" indent="1"/>
    </xf>
    <xf numFmtId="0" fontId="121" fillId="5" borderId="51" xfId="0" applyFont="1" applyFill="1" applyBorder="1" applyAlignment="1" applyProtection="1">
      <alignment horizontal="left" vertical="center" indent="3"/>
      <protection hidden="1"/>
    </xf>
    <xf numFmtId="0" fontId="121" fillId="5" borderId="52" xfId="0" applyFont="1" applyFill="1" applyBorder="1" applyAlignment="1" applyProtection="1">
      <alignment horizontal="left" vertical="center" indent="3"/>
      <protection hidden="1"/>
    </xf>
    <xf numFmtId="0" fontId="121" fillId="5" borderId="53" xfId="0" applyFont="1" applyFill="1" applyBorder="1" applyAlignment="1" applyProtection="1">
      <alignment horizontal="left" vertical="center" indent="3"/>
      <protection hidden="1"/>
    </xf>
    <xf numFmtId="0" fontId="107" fillId="12" borderId="51" xfId="0" applyFont="1" applyFill="1" applyBorder="1" applyAlignment="1">
      <alignment horizontal="center" vertical="center" wrapText="1"/>
    </xf>
    <xf numFmtId="0" fontId="107" fillId="12" borderId="53" xfId="0" applyFont="1" applyFill="1" applyBorder="1" applyAlignment="1">
      <alignment horizontal="center" vertical="center" wrapText="1"/>
    </xf>
    <xf numFmtId="0" fontId="107" fillId="12" borderId="43" xfId="0" applyFont="1" applyFill="1" applyBorder="1" applyAlignment="1">
      <alignment horizontal="center" vertical="center" wrapText="1"/>
    </xf>
    <xf numFmtId="0" fontId="107" fillId="12" borderId="56" xfId="0" applyFont="1" applyFill="1" applyBorder="1" applyAlignment="1">
      <alignment horizontal="center" vertical="center" wrapText="1"/>
    </xf>
    <xf numFmtId="0" fontId="107" fillId="12" borderId="52" xfId="0" applyFont="1" applyFill="1" applyBorder="1" applyAlignment="1">
      <alignment horizontal="center" vertical="center" wrapText="1"/>
    </xf>
    <xf numFmtId="0" fontId="107" fillId="12" borderId="54" xfId="0" applyFont="1" applyFill="1" applyBorder="1" applyAlignment="1">
      <alignment horizontal="center" vertical="center" wrapText="1"/>
    </xf>
    <xf numFmtId="0" fontId="107" fillId="12" borderId="0" xfId="0" applyFont="1" applyFill="1" applyBorder="1" applyAlignment="1">
      <alignment horizontal="center" vertical="center" wrapText="1"/>
    </xf>
    <xf numFmtId="0" fontId="107" fillId="12" borderId="44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45" fillId="0" borderId="0" xfId="1" applyFont="1" applyFill="1" applyBorder="1" applyAlignment="1" applyProtection="1">
      <alignment horizontal="center" vertical="center" wrapText="1"/>
      <protection hidden="1"/>
    </xf>
    <xf numFmtId="0" fontId="109" fillId="6" borderId="1" xfId="0" applyFont="1" applyFill="1" applyBorder="1" applyAlignment="1" applyProtection="1">
      <alignment horizontal="right" vertical="center" wrapText="1"/>
      <protection hidden="1"/>
    </xf>
    <xf numFmtId="0" fontId="109" fillId="6" borderId="2" xfId="0" applyFont="1" applyFill="1" applyBorder="1" applyAlignment="1" applyProtection="1">
      <alignment horizontal="right" vertical="center" wrapText="1"/>
      <protection hidden="1"/>
    </xf>
    <xf numFmtId="0" fontId="143" fillId="6" borderId="2" xfId="1" applyFont="1" applyFill="1" applyBorder="1" applyAlignment="1" applyProtection="1">
      <alignment horizontal="center" vertical="center" wrapText="1"/>
      <protection hidden="1"/>
    </xf>
    <xf numFmtId="0" fontId="63" fillId="5" borderId="43" xfId="0" applyFont="1" applyFill="1" applyBorder="1" applyAlignment="1">
      <alignment horizontal="left" vertical="center" indent="1"/>
    </xf>
    <xf numFmtId="0" fontId="63" fillId="5" borderId="44" xfId="0" applyFont="1" applyFill="1" applyBorder="1" applyAlignment="1">
      <alignment horizontal="left" vertical="center" indent="1"/>
    </xf>
    <xf numFmtId="0" fontId="63" fillId="5" borderId="56" xfId="0" applyFont="1" applyFill="1" applyBorder="1" applyAlignment="1">
      <alignment horizontal="left" vertical="center" indent="1"/>
    </xf>
  </cellXfs>
  <cellStyles count="4">
    <cellStyle name="Hyperlink" xfId="1" builtinId="8"/>
    <cellStyle name="Normal" xfId="0" builtinId="0"/>
    <cellStyle name="Percent" xfId="3" builtinId="5"/>
    <cellStyle name="R_Table_Header" xfId="2" xr:uid="{00000000-0005-0000-0000-000003000000}"/>
  </cellStyles>
  <dxfs count="9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outline="0">
        <left style="medium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Calibri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C00000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Arial Narrow"/>
        <family val="2"/>
        <charset val="204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79998168889431442"/>
        </patternFill>
      </fill>
    </dxf>
    <dxf>
      <border outline="0">
        <bottom style="medium">
          <color indexed="64"/>
        </bottom>
      </border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04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 Narrow"/>
        <family val="2"/>
        <charset val="204"/>
        <scheme val="none"/>
      </font>
      <fill>
        <patternFill patternType="solid">
          <fgColor indexed="64"/>
          <bgColor theme="0" tint="-0.249977111117893"/>
        </patternFill>
      </fill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Arial Narrow"/>
        <family val="2"/>
        <charset val="204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border outline="0">
        <top style="thin">
          <color auto="1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/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charset val="204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border>
        <top style="thin">
          <color indexed="64"/>
        </top>
      </border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outline="0">
        <left style="medium">
          <color indexed="64"/>
        </left>
      </border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solid">
          <bgColor rgb="FFFF5050"/>
        </patternFill>
      </fill>
    </dxf>
    <dxf>
      <fill>
        <patternFill patternType="none">
          <fgColor auto="1"/>
          <bgColor auto="1"/>
        </patternFill>
      </fill>
    </dxf>
    <dxf>
      <fill>
        <patternFill>
          <bgColor rgb="FFFF5050"/>
        </patternFill>
      </fill>
    </dxf>
    <dxf>
      <fill>
        <patternFill patternType="none">
          <bgColor auto="1"/>
        </patternFill>
      </fill>
    </dxf>
    <dxf>
      <fill>
        <patternFill>
          <bgColor rgb="FFFF5050"/>
        </patternFill>
      </fill>
    </dxf>
    <dxf>
      <fill>
        <patternFill patternType="none">
          <fgColor auto="1"/>
          <bgColor auto="1"/>
        </patternFill>
      </fill>
    </dxf>
    <dxf>
      <fill>
        <patternFill patternType="solid"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border diagonalUp="0" diagonalDown="0" outline="0">
        <left/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medium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0" formatCode="General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fill>
        <patternFill patternType="none">
          <bgColor auto="1"/>
        </patternFill>
      </fill>
      <alignment vertical="center" textRotation="0" wrapText="1" indent="0" justifyLastLine="0" shrinkToFit="0" readingOrder="0"/>
      <border outline="0"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11"/>
      </font>
      <numFmt numFmtId="30" formatCode="@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protection locked="0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0" formatCode="General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 patternType="solid">
          <fgColor theme="0" tint="-0.14999847407452621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</border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Arial Narrow"/>
        <family val="2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alignment horizontal="center" vertic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 Narrow"/>
        <scheme val="none"/>
      </font>
      <alignment vertical="center" textRotation="0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theme="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 Narrow"/>
        <scheme val="none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fill>
        <patternFill>
          <bgColor theme="0"/>
        </patternFill>
      </fill>
      <alignment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name val="Arial Narrow"/>
        <scheme val="none"/>
      </font>
      <numFmt numFmtId="30" formatCode="@"/>
      <fill>
        <patternFill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Narrow"/>
        <family val="2"/>
        <scheme val="none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Arial Narrow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vertAlign val="baseline"/>
        <name val="Arial Narrow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protection locked="1" hidden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fgColor auto="1"/>
          <bgColor auto="1"/>
        </patternFill>
      </fill>
    </dxf>
    <dxf>
      <fill>
        <patternFill>
          <bgColor rgb="FFFF5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5050"/>
        </patternFill>
      </fill>
    </dxf>
    <dxf>
      <fill>
        <patternFill patternType="solid">
          <fgColor auto="1"/>
          <bgColor theme="0"/>
        </patternFill>
      </fill>
    </dxf>
    <dxf>
      <numFmt numFmtId="0" formatCode="General"/>
      <fill>
        <patternFill patternType="solid">
          <bgColor rgb="FFFF5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border>
        <left/>
        <right/>
        <top/>
        <bottom/>
        <vertical/>
        <horizontal/>
      </border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5" tint="-0.249977111117893"/>
        <name val="Calibri"/>
        <family val="2"/>
        <charset val="204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alignment horizontal="center" vertical="center" textRotation="0" indent="0" justifyLastLine="0" shrinkToFit="0" readingOrder="0"/>
      <protection locked="1" hidden="1"/>
    </dxf>
    <dxf>
      <alignment horizontal="left" vertical="center" textRotation="0" wrapText="0" indent="0" justifyLastLine="0" shrinkToFit="0" readingOrder="0"/>
      <protection locked="1" hidden="1"/>
    </dxf>
    <dxf>
      <font>
        <color theme="0"/>
      </font>
      <border>
        <left/>
        <right/>
        <top/>
        <bottom/>
        <vertical/>
        <horizontal/>
      </border>
    </dxf>
    <dxf>
      <alignment horizontal="general" vertical="top" textRotation="0" wrapText="0" indent="0" justifyLastLine="0" shrinkToFit="0" readingOrder="0"/>
    </dxf>
    <dxf>
      <numFmt numFmtId="169" formatCode="m/d/yyyy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30" formatCode="@"/>
    </dxf>
    <dxf>
      <font>
        <b/>
        <charset val="204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/>
        <charset val="204"/>
      </font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charset val="204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1"/>
    </dxf>
    <dxf>
      <font>
        <b/>
        <family val="2"/>
        <charset val="204"/>
      </font>
      <numFmt numFmtId="0" formatCode="General"/>
      <alignment horizontal="center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ont>
        <b/>
        <family val="2"/>
        <charset val="204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theme="4"/>
          <bgColor theme="4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 outline="0">
        <left/>
        <right style="medium">
          <color indexed="64"/>
        </right>
        <top/>
        <bottom/>
      </border>
    </dxf>
    <dxf>
      <font>
        <b/>
        <charset val="204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charset val="204"/>
      </font>
      <numFmt numFmtId="0" formatCode="General"/>
      <alignment horizontal="center" vertical="center" textRotation="0" wrapText="0" indent="0" justifyLastLine="0" shrinkToFit="0" readingOrder="0"/>
    </dxf>
    <dxf>
      <font>
        <b/>
        <charset val="204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5" tint="0.59999389629810485"/>
        </patternFill>
      </fill>
      <border outline="0">
        <left style="medium">
          <color indexed="64"/>
        </left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charset val="204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top style="double">
          <color auto="1"/>
        </top>
        <horizontal style="double">
          <color auto="1"/>
        </horizontal>
      </border>
    </dxf>
    <dxf>
      <font>
        <b/>
        <i val="0"/>
        <strike val="0"/>
        <u val="none"/>
        <color theme="5" tint="-0.24994659260841701"/>
      </font>
      <fill>
        <patternFill>
          <bgColor theme="5" tint="0.79998168889431442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S_Total_Row" pivot="0" count="1" xr9:uid="{00000000-0011-0000-FFFF-FFFF00000000}">
      <tableStyleElement type="totalRow" dxfId="946"/>
    </tableStyle>
    <tableStyle name="TS_Total_Row 2" pivot="0" count="3" xr9:uid="{00000000-0011-0000-FFFF-FFFF01000000}">
      <tableStyleElement type="wholeTable" dxfId="945"/>
      <tableStyleElement type="headerRow" dxfId="944"/>
      <tableStyleElement type="totalRow" dxfId="943"/>
    </tableStyle>
  </tableStyles>
  <colors>
    <mruColors>
      <color rgb="FFFF5050"/>
      <color rgb="FFFF7C80"/>
      <color rgb="FFFFFFFF"/>
      <color rgb="FF0000FF"/>
      <color rgb="FFF84642"/>
      <color rgb="FFE60000"/>
      <color rgb="FF0000CC"/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Лекторат" lockText="1" noThreeD="1"/>
</file>

<file path=xl/ctrlProps/ctrlProp2.xml><?xml version="1.0" encoding="utf-8"?>
<formControlPr xmlns="http://schemas.microsoft.com/office/spreadsheetml/2009/9/main" objectType="CheckBox" fmlaLink="Лекторат" lockText="1" noThreeD="1"/>
</file>

<file path=xl/ctrlProps/ctrlProp3.xml><?xml version="1.0" encoding="utf-8"?>
<formControlPr xmlns="http://schemas.microsoft.com/office/spreadsheetml/2009/9/main" objectType="CheckBox" fmlaLink="Лекторат" lockText="1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. &#1054;&#1050;&#1057; &quot;&#1073;&#1072;&#1082;&#1072;&#1083;&#1072;&#1074;&#1098;&#1088;&quot;'!N7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'3. &#1054;&#1050;&#1057; &quot;&#1084;&#1072;&#1075;&#1080;&#1089;&#1090;&#1098;&#1088;&quot;'!N7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#'4. &#1054;&#1053;&#1057; &quot;&#1076;&#1086;&#1082;&#1090;&#1086;&#1088;&quot;'!B7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1.png"/><Relationship Id="rId1" Type="http://schemas.openxmlformats.org/officeDocument/2006/relationships/hyperlink" Target="#'5. &#1055;&#1086;&#1076;&#1075;&#1086;&#1090;&#1086;&#1074;&#1082;&#1072; &#1085;&#1072; &#1082;&#1091;&#1088;&#1089;'!B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22</xdr:row>
      <xdr:rowOff>19049</xdr:rowOff>
    </xdr:from>
    <xdr:to>
      <xdr:col>3</xdr:col>
      <xdr:colOff>952500</xdr:colOff>
      <xdr:row>23</xdr:row>
      <xdr:rowOff>180974</xdr:rowOff>
    </xdr:to>
    <xdr:sp macro="[0]!Stat_Индивидуален_План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14600" y="4419599"/>
          <a:ext cx="914400" cy="352425"/>
        </a:xfrm>
        <a:prstGeom prst="roundRect">
          <a:avLst/>
        </a:prstGeom>
        <a:gradFill flip="none" rotWithShape="1">
          <a:gsLst>
            <a:gs pos="0">
              <a:schemeClr val="accent2">
                <a:lumMod val="67000"/>
              </a:schemeClr>
            </a:gs>
            <a:gs pos="48000">
              <a:schemeClr val="accent2">
                <a:lumMod val="97000"/>
                <a:lumOff val="3000"/>
              </a:schemeClr>
            </a:gs>
            <a:gs pos="100000">
              <a:schemeClr val="accent2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bg-BG" sz="1100" b="1"/>
            <a:t>Подготви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20</xdr:row>
          <xdr:rowOff>38100</xdr:rowOff>
        </xdr:from>
        <xdr:to>
          <xdr:col>1</xdr:col>
          <xdr:colOff>161925</xdr:colOff>
          <xdr:row>21</xdr:row>
          <xdr:rowOff>9525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4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21</xdr:row>
          <xdr:rowOff>9525</xdr:rowOff>
        </xdr:from>
        <xdr:to>
          <xdr:col>1</xdr:col>
          <xdr:colOff>161925</xdr:colOff>
          <xdr:row>21</xdr:row>
          <xdr:rowOff>228600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5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21</xdr:row>
          <xdr:rowOff>9525</xdr:rowOff>
        </xdr:from>
        <xdr:to>
          <xdr:col>1</xdr:col>
          <xdr:colOff>200025</xdr:colOff>
          <xdr:row>21</xdr:row>
          <xdr:rowOff>228600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6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252000</xdr:colOff>
      <xdr:row>6</xdr:row>
      <xdr:rowOff>252000</xdr:rowOff>
    </xdr:to>
    <xdr:pic>
      <xdr:nvPicPr>
        <xdr:cNvPr id="12" name="Graphic 11" descr="kljklsdjklfjldsfdsf">
          <a:extLst>
            <a:ext uri="{FF2B5EF4-FFF2-40B4-BE49-F238E27FC236}">
              <a16:creationId xmlns:a16="http://schemas.microsoft.com/office/drawing/2014/main" id="{00000000-0008-0000-0700-00000C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9333" y="1386417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18</xdr:col>
      <xdr:colOff>0</xdr:colOff>
      <xdr:row>66</xdr:row>
      <xdr:rowOff>0</xdr:rowOff>
    </xdr:from>
    <xdr:to>
      <xdr:col>18</xdr:col>
      <xdr:colOff>252000</xdr:colOff>
      <xdr:row>66</xdr:row>
      <xdr:rowOff>252000</xdr:rowOff>
    </xdr:to>
    <xdr:pic>
      <xdr:nvPicPr>
        <xdr:cNvPr id="14" name="Graphic 13" descr="kljklsdjklfjldsfdsf">
          <a:hlinkClick xmlns:r="http://schemas.openxmlformats.org/officeDocument/2006/relationships" r:id="rId3" tooltip="Инструкция"/>
          <a:extLst>
            <a:ext uri="{FF2B5EF4-FFF2-40B4-BE49-F238E27FC236}">
              <a16:creationId xmlns:a16="http://schemas.microsoft.com/office/drawing/2014/main" id="{00000000-0008-0000-0700-00000E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54417" y="12657667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74</xdr:row>
      <xdr:rowOff>0</xdr:rowOff>
    </xdr:from>
    <xdr:to>
      <xdr:col>28</xdr:col>
      <xdr:colOff>252000</xdr:colOff>
      <xdr:row>74</xdr:row>
      <xdr:rowOff>252000</xdr:rowOff>
    </xdr:to>
    <xdr:pic>
      <xdr:nvPicPr>
        <xdr:cNvPr id="16" name="Graphic 15" descr="kljklsdjklfjldsfdsf">
          <a:hlinkClick xmlns:r="http://schemas.openxmlformats.org/officeDocument/2006/relationships" r:id="rId3" tooltip="Инструкция"/>
          <a:extLst>
            <a:ext uri="{FF2B5EF4-FFF2-40B4-BE49-F238E27FC236}">
              <a16:creationId xmlns:a16="http://schemas.microsoft.com/office/drawing/2014/main" id="{00000000-0008-0000-0700-000010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18</xdr:col>
      <xdr:colOff>0</xdr:colOff>
      <xdr:row>115</xdr:row>
      <xdr:rowOff>0</xdr:rowOff>
    </xdr:from>
    <xdr:to>
      <xdr:col>18</xdr:col>
      <xdr:colOff>252000</xdr:colOff>
      <xdr:row>115</xdr:row>
      <xdr:rowOff>252000</xdr:rowOff>
    </xdr:to>
    <xdr:pic>
      <xdr:nvPicPr>
        <xdr:cNvPr id="23" name="Graphic 22" descr="kljklsdjklfjldsfdsf">
          <a:hlinkClick xmlns:r="http://schemas.openxmlformats.org/officeDocument/2006/relationships" r:id="rId3" tooltip="Инструкция"/>
          <a:extLst>
            <a:ext uri="{FF2B5EF4-FFF2-40B4-BE49-F238E27FC236}">
              <a16:creationId xmlns:a16="http://schemas.microsoft.com/office/drawing/2014/main" id="{00000000-0008-0000-0700-000017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23</xdr:col>
      <xdr:colOff>0</xdr:colOff>
      <xdr:row>123</xdr:row>
      <xdr:rowOff>0</xdr:rowOff>
    </xdr:from>
    <xdr:to>
      <xdr:col>23</xdr:col>
      <xdr:colOff>252000</xdr:colOff>
      <xdr:row>123</xdr:row>
      <xdr:rowOff>252000</xdr:rowOff>
    </xdr:to>
    <xdr:pic>
      <xdr:nvPicPr>
        <xdr:cNvPr id="24" name="Graphic 23" descr="kljklsdjklfjldsfdsf">
          <a:hlinkClick xmlns:r="http://schemas.openxmlformats.org/officeDocument/2006/relationships" r:id="rId3" tooltip="Инструкция"/>
          <a:extLst>
            <a:ext uri="{FF2B5EF4-FFF2-40B4-BE49-F238E27FC236}">
              <a16:creationId xmlns:a16="http://schemas.microsoft.com/office/drawing/2014/main" id="{00000000-0008-0000-0700-00001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34667" y="162348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50</xdr:row>
      <xdr:rowOff>0</xdr:rowOff>
    </xdr:from>
    <xdr:to>
      <xdr:col>28</xdr:col>
      <xdr:colOff>252000</xdr:colOff>
      <xdr:row>50</xdr:row>
      <xdr:rowOff>252000</xdr:rowOff>
    </xdr:to>
    <xdr:pic>
      <xdr:nvPicPr>
        <xdr:cNvPr id="10" name="Graphic 9" descr="kljklsdjklfjldsfdsf">
          <a:hlinkClick xmlns:r="http://schemas.openxmlformats.org/officeDocument/2006/relationships" r:id="rId3" tooltip="Инструкция"/>
          <a:extLst>
            <a:ext uri="{FF2B5EF4-FFF2-40B4-BE49-F238E27FC236}">
              <a16:creationId xmlns:a16="http://schemas.microsoft.com/office/drawing/2014/main" id="{00000000-0008-0000-0700-00000A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564725" y="122110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25</xdr:row>
      <xdr:rowOff>0</xdr:rowOff>
    </xdr:from>
    <xdr:to>
      <xdr:col>28</xdr:col>
      <xdr:colOff>252000</xdr:colOff>
      <xdr:row>25</xdr:row>
      <xdr:rowOff>252000</xdr:rowOff>
    </xdr:to>
    <xdr:pic>
      <xdr:nvPicPr>
        <xdr:cNvPr id="13" name="Graphic 12" descr="kljklsdjklfjldsfdsf">
          <a:hlinkClick xmlns:r="http://schemas.openxmlformats.org/officeDocument/2006/relationships" r:id="rId3" tooltip="Инструкция"/>
          <a:extLst>
            <a:ext uri="{FF2B5EF4-FFF2-40B4-BE49-F238E27FC236}">
              <a16:creationId xmlns:a16="http://schemas.microsoft.com/office/drawing/2014/main" id="{00000000-0008-0000-0700-00000D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703118" y="6970059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99</xdr:row>
      <xdr:rowOff>0</xdr:rowOff>
    </xdr:from>
    <xdr:to>
      <xdr:col>28</xdr:col>
      <xdr:colOff>252000</xdr:colOff>
      <xdr:row>99</xdr:row>
      <xdr:rowOff>252000</xdr:rowOff>
    </xdr:to>
    <xdr:pic>
      <xdr:nvPicPr>
        <xdr:cNvPr id="11" name="Graphic 10" descr="kljklsdjklfjldsfdsf">
          <a:hlinkClick xmlns:r="http://schemas.openxmlformats.org/officeDocument/2006/relationships" r:id="rId3" tooltip="Инструкция"/>
          <a:extLst>
            <a:ext uri="{FF2B5EF4-FFF2-40B4-BE49-F238E27FC236}">
              <a16:creationId xmlns:a16="http://schemas.microsoft.com/office/drawing/2014/main" id="{00000000-0008-0000-0700-00000B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872882" y="13469471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66</xdr:row>
      <xdr:rowOff>0</xdr:rowOff>
    </xdr:from>
    <xdr:to>
      <xdr:col>18</xdr:col>
      <xdr:colOff>252000</xdr:colOff>
      <xdr:row>66</xdr:row>
      <xdr:rowOff>252000</xdr:rowOff>
    </xdr:to>
    <xdr:pic>
      <xdr:nvPicPr>
        <xdr:cNvPr id="11" name="Graphic 10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0B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948083" y="17388417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1</xdr:col>
      <xdr:colOff>0</xdr:colOff>
      <xdr:row>6</xdr:row>
      <xdr:rowOff>0</xdr:rowOff>
    </xdr:from>
    <xdr:to>
      <xdr:col>13</xdr:col>
      <xdr:colOff>252000</xdr:colOff>
      <xdr:row>6</xdr:row>
      <xdr:rowOff>252000</xdr:rowOff>
    </xdr:to>
    <xdr:pic>
      <xdr:nvPicPr>
        <xdr:cNvPr id="14" name="Graphic 13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0E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9333" y="1322917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18</xdr:col>
      <xdr:colOff>0</xdr:colOff>
      <xdr:row>115</xdr:row>
      <xdr:rowOff>0</xdr:rowOff>
    </xdr:from>
    <xdr:to>
      <xdr:col>18</xdr:col>
      <xdr:colOff>252000</xdr:colOff>
      <xdr:row>115</xdr:row>
      <xdr:rowOff>252000</xdr:rowOff>
    </xdr:to>
    <xdr:pic>
      <xdr:nvPicPr>
        <xdr:cNvPr id="15" name="Graphic 14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0F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948083" y="29675667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25</xdr:row>
      <xdr:rowOff>0</xdr:rowOff>
    </xdr:from>
    <xdr:to>
      <xdr:col>28</xdr:col>
      <xdr:colOff>252000</xdr:colOff>
      <xdr:row>25</xdr:row>
      <xdr:rowOff>252000</xdr:rowOff>
    </xdr:to>
    <xdr:pic>
      <xdr:nvPicPr>
        <xdr:cNvPr id="17" name="Graphic 16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11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688521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50</xdr:row>
      <xdr:rowOff>0</xdr:rowOff>
    </xdr:from>
    <xdr:to>
      <xdr:col>28</xdr:col>
      <xdr:colOff>252000</xdr:colOff>
      <xdr:row>50</xdr:row>
      <xdr:rowOff>252000</xdr:rowOff>
    </xdr:to>
    <xdr:pic>
      <xdr:nvPicPr>
        <xdr:cNvPr id="18" name="Graphic 17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12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12123964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74</xdr:row>
      <xdr:rowOff>0</xdr:rowOff>
    </xdr:from>
    <xdr:to>
      <xdr:col>28</xdr:col>
      <xdr:colOff>252000</xdr:colOff>
      <xdr:row>74</xdr:row>
      <xdr:rowOff>252000</xdr:rowOff>
    </xdr:to>
    <xdr:pic>
      <xdr:nvPicPr>
        <xdr:cNvPr id="19" name="Graphic 18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13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175260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28</xdr:col>
      <xdr:colOff>0</xdr:colOff>
      <xdr:row>99</xdr:row>
      <xdr:rowOff>0</xdr:rowOff>
    </xdr:from>
    <xdr:to>
      <xdr:col>28</xdr:col>
      <xdr:colOff>252000</xdr:colOff>
      <xdr:row>99</xdr:row>
      <xdr:rowOff>252000</xdr:rowOff>
    </xdr:to>
    <xdr:pic>
      <xdr:nvPicPr>
        <xdr:cNvPr id="20" name="Graphic 19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1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566571" y="227647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>
    <xdr:from>
      <xdr:col>23</xdr:col>
      <xdr:colOff>0</xdr:colOff>
      <xdr:row>123</xdr:row>
      <xdr:rowOff>0</xdr:rowOff>
    </xdr:from>
    <xdr:to>
      <xdr:col>23</xdr:col>
      <xdr:colOff>252000</xdr:colOff>
      <xdr:row>123</xdr:row>
      <xdr:rowOff>252000</xdr:rowOff>
    </xdr:to>
    <xdr:pic>
      <xdr:nvPicPr>
        <xdr:cNvPr id="21" name="Graphic 20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800-000015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178393" y="28153179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20</xdr:row>
      <xdr:rowOff>0</xdr:rowOff>
    </xdr:from>
    <xdr:to>
      <xdr:col>22</xdr:col>
      <xdr:colOff>252000</xdr:colOff>
      <xdr:row>21</xdr:row>
      <xdr:rowOff>8584</xdr:rowOff>
    </xdr:to>
    <xdr:pic>
      <xdr:nvPicPr>
        <xdr:cNvPr id="3" name="Graphic 2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3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186583" y="46355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4</xdr:col>
      <xdr:colOff>0</xdr:colOff>
      <xdr:row>32</xdr:row>
      <xdr:rowOff>0</xdr:rowOff>
    </xdr:from>
    <xdr:to>
      <xdr:col>4</xdr:col>
      <xdr:colOff>252000</xdr:colOff>
      <xdr:row>32</xdr:row>
      <xdr:rowOff>252000</xdr:rowOff>
    </xdr:to>
    <xdr:pic>
      <xdr:nvPicPr>
        <xdr:cNvPr id="6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900-000006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006167" y="753533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252000</xdr:colOff>
      <xdr:row>6</xdr:row>
      <xdr:rowOff>252000</xdr:rowOff>
    </xdr:to>
    <xdr:pic>
      <xdr:nvPicPr>
        <xdr:cNvPr id="8" name="Graphic 7" descr="kljklsdjklfjldsfdsf">
          <a:extLst>
            <a:ext uri="{FF2B5EF4-FFF2-40B4-BE49-F238E27FC236}">
              <a16:creationId xmlns:a16="http://schemas.microsoft.com/office/drawing/2014/main" id="{00000000-0008-0000-0900-00000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32833" y="1407583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22</xdr:row>
      <xdr:rowOff>0</xdr:rowOff>
    </xdr:from>
    <xdr:to>
      <xdr:col>30</xdr:col>
      <xdr:colOff>252000</xdr:colOff>
      <xdr:row>23</xdr:row>
      <xdr:rowOff>23399</xdr:rowOff>
    </xdr:to>
    <xdr:pic>
      <xdr:nvPicPr>
        <xdr:cNvPr id="6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6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363575" y="541020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  <xdr:twoCellAnchor editAs="oneCell">
    <xdr:from>
      <xdr:col>1</xdr:col>
      <xdr:colOff>0</xdr:colOff>
      <xdr:row>6</xdr:row>
      <xdr:rowOff>0</xdr:rowOff>
    </xdr:from>
    <xdr:to>
      <xdr:col>1</xdr:col>
      <xdr:colOff>252000</xdr:colOff>
      <xdr:row>6</xdr:row>
      <xdr:rowOff>252000</xdr:rowOff>
    </xdr:to>
    <xdr:pic>
      <xdr:nvPicPr>
        <xdr:cNvPr id="8" name="Graphic 5" descr="kljklsdjklfjldsfdsf">
          <a:hlinkClick xmlns:r="http://schemas.openxmlformats.org/officeDocument/2006/relationships" r:id="rId1" tooltip="Инструкция"/>
          <a:extLst>
            <a:ext uri="{FF2B5EF4-FFF2-40B4-BE49-F238E27FC236}">
              <a16:creationId xmlns:a16="http://schemas.microsoft.com/office/drawing/2014/main" id="{00000000-0008-0000-0A00-000008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90500" y="1428750"/>
          <a:ext cx="252000" cy="252000"/>
        </a:xfrm>
        <a:prstGeom prst="rect">
          <a:avLst/>
        </a:prstGeom>
        <a:effectLst>
          <a:glow rad="63500">
            <a:schemeClr val="accent3">
              <a:satMod val="175000"/>
              <a:alpha val="40000"/>
            </a:schemeClr>
          </a:glow>
        </a:effectLst>
      </xdr:spPr>
    </xdr:pic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Table3" displayName="ListTable3" ref="A1:C21" totalsRowShown="0" headerRowDxfId="941" headerRowBorderDxfId="940" tableBorderDxfId="939" totalsRowBorderDxfId="938">
  <autoFilter ref="A1:C21" xr:uid="{00000000-0009-0000-0100-000001000000}"/>
  <sortState xmlns:xlrd2="http://schemas.microsoft.com/office/spreadsheetml/2017/richdata2" ref="A2:C21">
    <sortCondition ref="B1:B21"/>
  </sortState>
  <tableColumns count="3">
    <tableColumn id="1" xr3:uid="{00000000-0010-0000-0000-000001000000}" name="Факултет" dataDxfId="937"/>
    <tableColumn id="2" xr3:uid="{00000000-0010-0000-0000-000002000000}" name="Ранг" dataDxfId="936"/>
    <tableColumn id="3" xr3:uid="{00000000-0010-0000-0000-000003000000}" name="Акроним" dataDxfId="93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stTable37" displayName="ListTable37" ref="A44:B50" totalsRowShown="0" headerRowDxfId="934" headerRowBorderDxfId="933" tableBorderDxfId="932" totalsRowBorderDxfId="931">
  <autoFilter ref="A44:B50" xr:uid="{00000000-0009-0000-0100-000002000000}"/>
  <tableColumns count="2">
    <tableColumn id="1" xr3:uid="{00000000-0010-0000-0100-000001000000}" name="Ръководна длъжност" dataDxfId="930"/>
    <tableColumn id="2" xr3:uid="{00000000-0010-0000-0100-000002000000}" name="%" dataDxfId="92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Koef.ocenqvane" displayName="Koef.ocenqvane" ref="A77:B79" totalsRowShown="0" headerRowDxfId="928" headerRowBorderDxfId="927" tableBorderDxfId="926" totalsRowBorderDxfId="925">
  <autoFilter ref="A77:B79" xr:uid="{00000000-0009-0000-0100-000003000000}"/>
  <tableColumns count="2">
    <tableColumn id="1" xr3:uid="{00000000-0010-0000-0200-000001000000}" name="Титуляр/асистент по дисциплина извън ФМИ" dataDxfId="924"/>
    <tableColumn id="2" xr3:uid="{00000000-0010-0000-0200-000002000000}" name="Коефициент" dataDxfId="923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RdukciaChasove" displayName="RdukciaChasove" ref="A69:B75" totalsRowShown="0" headerRowDxfId="922" headerRowBorderDxfId="921" tableBorderDxfId="920" totalsRowBorderDxfId="919">
  <autoFilter ref="A69:B75" xr:uid="{00000000-0009-0000-0100-000005000000}"/>
  <tableColumns count="2">
    <tableColumn id="1" xr3:uid="{00000000-0010-0000-0300-000001000000}" name="Редукция часове малък брой студенти" dataDxfId="918"/>
    <tableColumn id="2" xr3:uid="{00000000-0010-0000-0300-000002000000}" name="Коефициент" dataDxfId="917"/>
  </tableColumns>
  <tableStyleInfo name="TableStyleLight8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4000000}" name="RakovodnaDl" displayName="RakovodnaDl" ref="A81:C87" totalsRowShown="0" headerRowDxfId="916" dataDxfId="914" headerRowBorderDxfId="915" tableBorderDxfId="913" totalsRowBorderDxfId="912">
  <autoFilter ref="A81:C87" xr:uid="{00000000-0009-0000-0100-000011000000}"/>
  <tableColumns count="3">
    <tableColumn id="1" xr3:uid="{00000000-0010-0000-0400-000001000000}" name="Ръководна длъжност" dataDxfId="911"/>
    <tableColumn id="2" xr3:uid="{00000000-0010-0000-0400-000002000000}" name="%" dataDxfId="910"/>
    <tableColumn id="3" xr3:uid="{00000000-0010-0000-0400-000003000000}" name="%2" dataDxfId="909"/>
  </tableColumns>
  <tableStyleInfo name="TableStyleLight8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5000000}" name="TablePN" displayName="TablePN" ref="A100:C139" totalsRowShown="0" headerRowDxfId="908" dataDxfId="906" headerRowBorderDxfId="907" tableBorderDxfId="905">
  <autoFilter ref="A100:C139" xr:uid="{00000000-0009-0000-0100-000016000000}"/>
  <tableColumns count="3">
    <tableColumn id="1" xr3:uid="{00000000-0010-0000-0500-000001000000}" name="Професионално направление" dataDxfId="904"/>
    <tableColumn id="2" xr3:uid="{00000000-0010-0000-0500-000002000000}" name="Шифър" dataDxfId="903"/>
    <tableColumn id="3" xr3:uid="{00000000-0010-0000-0500-000003000000}" name="Column1" dataDxfId="90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7917FA3-21B8-4063-A353-4CFEAC6BD970}" name="RT_Документация" displayName="RT_Документация" ref="L1:N39" totalsRowShown="0" dataDxfId="900" headerRowBorderDxfId="901" tableBorderDxfId="899">
  <autoFilter ref="L1:N39" xr:uid="{07917FA3-21B8-4063-A353-4CFEAC6BD970}"/>
  <tableColumns count="3">
    <tableColumn id="1" xr3:uid="{87878782-E5C6-47ED-A9ED-54746141B586}" name="Категория" dataDxfId="898"/>
    <tableColumn id="2" xr3:uid="{B9278054-F192-4891-ABFB-31DD2055883F}" name="Въвед. данни от" dataDxfId="897">
      <calculatedColumnFormula>M1</calculatedColumnFormula>
    </tableColumn>
    <tableColumn id="3" xr3:uid="{9ADA8F2D-4D24-465C-B545-8CE59D37FAA1}" name="Данни" dataDxfId="89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15A9DB7-3276-49E9-B4DB-D0005761CF7E}" name="RT_Документация_H" displayName="RT_Документация_H" ref="Q3:BB4" totalsRowShown="0">
  <autoFilter ref="Q3:BB4" xr:uid="{015A9DB7-3276-49E9-B4DB-D0005761CF7E}"/>
  <tableColumns count="38">
    <tableColumn id="1" xr3:uid="{85A522E6-4668-4354-BF24-979136AC3B75}" name="аУчебна година:"/>
    <tableColumn id="2" xr3:uid="{B2E95D2D-F9E9-4ADC-A261-762F488E824A}" name="аСeместър:"/>
    <tableColumn id="3" xr3:uid="{A12173EF-3064-4511-B560-616797B5F58F}" name="аВерсия:"/>
    <tableColumn id="4" xr3:uid="{84EE15C0-691C-4931-9134-22EA05A53050}" name="аАдмин:"/>
    <tableColumn id="5" xr3:uid="{01C9A069-8577-4624-A232-011CBE6B275C}" name="аАкад. длъжност:">
      <calculatedColumnFormula>T(INDEX(RT_Документация[Данни],MATCH(U$3,RT_Документация[Категория],0)))</calculatedColumnFormula>
    </tableColumn>
    <tableColumn id="6" xr3:uid="{03A9AD27-824F-40E5-985B-64A91A5486EE}" name="аРък. длъжност:">
      <calculatedColumnFormula>T(INDEX(RT_Документация[Данни],MATCH(V$3,RT_Документация[Категория],0)))</calculatedColumnFormula>
    </tableColumn>
    <tableColumn id="7" xr3:uid="{A0E6E149-FF33-4D05-B14C-993CE6021A47}" name="аПреподавател:">
      <calculatedColumnFormula>T(INDEX(RT_Документация[Данни],MATCH(W$3,RT_Документация[Категория],0)))</calculatedColumnFormula>
    </tableColumn>
    <tableColumn id="8" xr3:uid="{E3A77B5E-99C8-41B8-BC13-9DE44F6B9219}" name="аЕГН:">
      <calculatedColumnFormula>T(INDEX(RT_Документация[Данни],MATCH(X$3,RT_Документация[Категория],0)))</calculatedColumnFormula>
    </tableColumn>
    <tableColumn id="18" xr3:uid="{1EA6E930-C6C0-4FFF-960E-42BE02FEA2E8}" name="Teacher_ID:">
      <calculatedColumnFormula>INDEX(RT_Документация[Данни],MATCH(Y$3,RT_Документация[Категория],0))</calculatedColumnFormula>
    </tableColumn>
    <tableColumn id="27" xr3:uid="{308C7EDB-88FC-4650-9D84-9ED732D33690}" name="PersonData_ID:">
      <calculatedColumnFormula>INDEX(RT_Документация[Данни],MATCH(Z$3,RT_Документация[Категория],0))</calculatedColumnFormula>
    </tableColumn>
    <tableColumn id="38" xr3:uid="{3A1431A3-FFE9-4C79-BE8D-6729057DA6A8}" name="LDAPUserName:">
      <calculatedColumnFormula>T(INDEX(RT_Документация[Данни],MATCH(AA$3,RT_Документация[Категория],0)))</calculatedColumnFormula>
    </tableColumn>
    <tableColumn id="9" xr3:uid="{7F312DBA-EC62-469D-B3E1-70ECB593C25C}" name="аФакултет:"/>
    <tableColumn id="10" xr3:uid="{1BE53221-7474-44B7-833C-B1C821AEE683}" name="аКатедра:"/>
    <tableColumn id="11" xr3:uid="{F3DADDB1-8FD5-4553-9AD7-D48095542873}" name="аОтчет - Файл:"/>
    <tableColumn id="12" xr3:uid="{656CC81A-E7C6-4212-9F0C-6D80D669A15E}" name="аПлан - Път:"/>
    <tableColumn id="13" xr3:uid="{F8B3B302-B869-4A23-9B5B-E414FEE7FC3A}" name="пПреподавател:"/>
    <tableColumn id="14" xr3:uid="{ACA76E6D-5212-4CDB-ABB2-48803213C5CE}" name="пФакултет:"/>
    <tableColumn id="15" xr3:uid="{0AAC0F5D-99AF-420C-B96C-F988C66E4035}" name="пКатедра:"/>
    <tableColumn id="16" xr3:uid="{3DB0F60D-93F9-4584-86DA-F6C414C6AFAF}" name="пАкад. длъжност:"/>
    <tableColumn id="17" xr3:uid="{9BE9B9A6-61E2-4E60-93ED-0877857356A2}" name="пРък. длъжност:"/>
    <tableColumn id="19" xr3:uid="{797607B0-6899-4A2C-85AA-BB65579B0674}" name="пЗабележка:"/>
    <tableColumn id="20" xr3:uid="{8A6ADDE0-2334-4602-8D69-6758F33215B1}" name="пЛекторат:"/>
    <tableColumn id="21" xr3:uid="{D6C11492-1C75-43A6-BD51-EBB91267ADFE}" name="пЗаповед №:"/>
    <tableColumn id="22" xr3:uid="{4E772524-65A2-475E-A142-DB0B8F708D4C}" name="пВУЗ:"/>
    <tableColumn id="23" xr3:uid="{D2121C7B-847B-427D-9D9D-B2EA8B2C4FF3}" name="потДата:"/>
    <tableColumn id="24" xr3:uid="{D16482FB-E74F-4BC3-B5B8-4B15E4EDEC03}" name="пдоДата:"/>
    <tableColumn id="25" xr3:uid="{C40AC9BB-0B8F-4962-BC25-E32E7C68A66C}" name="пФайл:"/>
    <tableColumn id="26" xr3:uid="{0B522E79-EB20-4E84-AF5C-6D27D6E8C632}" name="пПът:"/>
    <tableColumn id="28" xr3:uid="{6D1AAE00-E80F-4602-8F4C-30C0746D5DF2}" name="бакУЗ:"/>
    <tableColumn id="29" xr3:uid="{4C2C3037-75B3-42EE-B3A7-E513BB0D246E}" name="бакАз:"/>
    <tableColumn id="30" xr3:uid="{5608FD75-CC14-40E9-B2F9-F338BABBD4C1}" name="магУЗ:"/>
    <tableColumn id="31" xr3:uid="{1FF0DAEA-D3A7-410C-A307-2F0DC92796D8}" name="магАЗ:"/>
    <tableColumn id="32" xr3:uid="{43961534-DDCE-499B-8DC6-3857A1B5DDD3}" name="докУЗ:"/>
    <tableColumn id="33" xr3:uid="{370EE800-2587-4E3F-912F-DD84C94C7D5B}" name="докАЗ:"/>
    <tableColumn id="34" xr3:uid="{7673D522-DE08-4875-A13B-A33C9060C616}" name="бакАЗ_рЧасове"/>
    <tableColumn id="35" xr3:uid="{3D174932-A44B-4D8C-84FF-07F7BCE5DA61}" name="АЗ (Зад. дисц.)_рЧасове"/>
    <tableColumn id="36" xr3:uid="{3B84015E-C748-417C-BA80-BDB666F7F6B8}" name="магАЗ_рЧасове"/>
    <tableColumn id="37" xr3:uid="{AE6DBB9B-6E93-4527-9849-A6DFCEFD90A5}" name="Маг. - АЗ (Зад. дисц.)_рЧасове"/>
  </tableColumns>
  <tableStyleInfo name="TableStyleLight8" showFirstColumn="0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271160E-D041-4202-AAED-EB57003C3CC3}" name="тИндидОТЧЕТ" displayName="тИндидОТЧЕТ" ref="BD5:CH36" totalsRowShown="0" dataDxfId="895">
  <autoFilter ref="BD5:CH36" xr:uid="{3271160E-D041-4202-AAED-EB57003C3C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6" xr3:uid="{6C2E24D4-60D6-4D07-A220-ADCD1926F49B}" name="№" dataDxfId="894">
      <calculatedColumnFormula>N(OFFSET(тИндидОТЧЕТ[[#This Row],[№]],-1,0))+1</calculatedColumnFormula>
    </tableColumn>
    <tableColumn id="23" xr3:uid="{24A083CA-B583-4050-8A8A-BEF963FCEC76}" name="аФакултет" dataDxfId="893">
      <calculatedColumnFormula>T($N$13)</calculatedColumnFormula>
    </tableColumn>
    <tableColumn id="24" xr3:uid="{DBD411C3-E30D-4204-B077-5B4A973B96F7}" name="аКатедра" dataDxfId="892">
      <calculatedColumnFormula>T($N$14)</calculatedColumnFormula>
    </tableColumn>
    <tableColumn id="25" xr3:uid="{2C4B35BB-8E89-43F7-95C0-A632664F428F}" name="аАкадДлъжност" dataDxfId="891">
      <calculatedColumnFormula>T($N$6)</calculatedColumnFormula>
    </tableColumn>
    <tableColumn id="26" xr3:uid="{7884A47F-3DF2-4A46-903F-2AA05B290EE6}" name="аРъкДлъжност" dataDxfId="890">
      <calculatedColumnFormula>T($N$7)</calculatedColumnFormula>
    </tableColumn>
    <tableColumn id="27" xr3:uid="{38FC0398-C41A-4AE4-AA7B-31BCF3720135}" name="аПреподавател" dataDxfId="889">
      <calculatedColumnFormula>T($N$8)</calculatedColumnFormula>
    </tableColumn>
    <tableColumn id="29" xr3:uid="{028DDB6B-0F51-4463-96AE-D3A174845517}" name="аЕГН" dataDxfId="888">
      <calculatedColumnFormula>T($N$9)</calculatedColumnFormula>
    </tableColumn>
    <tableColumn id="30" xr3:uid="{07791CB8-D9CD-4705-8CE1-E7FE306CFF6C}" name="Teacher_ID:" dataDxfId="887">
      <calculatedColumnFormula>N($N$10)</calculatedColumnFormula>
    </tableColumn>
    <tableColumn id="31" xr3:uid="{087E6ABB-A374-44CA-A886-91539DCA473C}" name="PersonData_ID:" dataDxfId="886">
      <calculatedColumnFormula>N($N$11)</calculatedColumnFormula>
    </tableColumn>
    <tableColumn id="22" xr3:uid="{D5327D3E-7F3E-44A3-BB70-4565A0F56820}" name="LDAPUserName:" dataDxfId="885">
      <calculatedColumnFormula>T($N$12)</calculatedColumnFormula>
    </tableColumn>
    <tableColumn id="28" xr3:uid="{FA5816E6-0683-4031-9293-7305864E74A4}" name="Контрол" dataDxfId="884">
      <calculatedColumnFormula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calculatedColumnFormula>
    </tableColumn>
    <tableColumn id="1" xr3:uid="{C30DC784-EB1B-4B70-9D2F-0B9C028B42B8}" name="Факултет" dataDxfId="883"/>
    <tableColumn id="2" xr3:uid="{91232DC7-7B1A-4AC9-BADA-EA0FD57AA97E}" name="Катедра" dataDxfId="882"/>
    <tableColumn id="3" xr3:uid="{8B847576-5FC7-4234-9A5C-B99C4DF9EF5B}" name="акадДлъжност" dataDxfId="881"/>
    <tableColumn id="4" xr3:uid="{4D342B88-5865-4C20-BD30-A44337928609}" name="ръкДлъжност" dataDxfId="880"/>
    <tableColumn id="5" xr3:uid="{A6452E57-1E77-4CEF-B55E-6B8E2A2D3D5E}" name="Преподавател" dataDxfId="879"/>
    <tableColumn id="6" xr3:uid="{2810A7A1-8745-4D30-BEA3-4DD5D39322DD}" name="Забележка" dataDxfId="878"/>
    <tableColumn id="7" xr3:uid="{E1C50D0D-6863-4B7B-9FE3-A6F41CAB58C3}" name="уГодина" dataDxfId="877">
      <calculatedColumnFormula>T(Учебна_година)</calculatedColumnFormula>
    </tableColumn>
    <tableColumn id="8" xr3:uid="{661582FF-0B54-4F3B-96B7-70EEE9272B1F}" name="Семестър" dataDxfId="876">
      <calculatedColumnFormula>T(Семестър)</calculatedColumnFormula>
    </tableColumn>
    <tableColumn id="9" xr3:uid="{0B9FC1D8-6EBE-4943-A46E-44295802B70A}" name="Заетост" dataDxfId="875"/>
    <tableColumn id="10" xr3:uid="{E5780C2C-3CAD-4895-B536-76477A576B1B}" name="Дейности" dataDxfId="874"/>
    <tableColumn id="11" xr3:uid="{4CE1BC33-AC6C-4F45-A5B1-366601245BF5}" name="зБакалавър" dataDxfId="873"/>
    <tableColumn id="12" xr3:uid="{341104E9-7D51-4D69-A2B4-90FA7B19A4D8}" name="лБакалавър" dataDxfId="872"/>
    <tableColumn id="13" xr3:uid="{366047BA-93B5-44A2-A873-E809A529747C}" name="зМагистър" dataDxfId="871"/>
    <tableColumn id="14" xr3:uid="{C827D361-33FC-4E66-BDA1-9AE30D458F08}" name="лМагистър" dataDxfId="870"/>
    <tableColumn id="15" xr3:uid="{DEEE71F2-07DD-49F1-BF0F-303BE56BF101}" name="Доктор" dataDxfId="869"/>
    <tableColumn id="17" xr3:uid="{C1ACF021-9C8D-46BB-BD07-46F3E6F8137B}" name="ОЗ" dataDxfId="868">
      <calculatedColumnFormula>$BY$33</calculatedColumnFormula>
    </tableColumn>
    <tableColumn id="18" xr3:uid="{AB3EA14B-7962-4FB4-B355-BA1ABD5B2CD7}" name="АЗ" dataDxfId="867">
      <calculatedColumnFormula>$BY$34</calculatedColumnFormula>
    </tableColumn>
    <tableColumn id="19" xr3:uid="{ADF03488-217E-418E-8233-32D01AF56511}" name="рЧасове" dataDxfId="866">
      <calculatedColumnFormula>$CC$35</calculatedColumnFormula>
    </tableColumn>
    <tableColumn id="20" xr3:uid="{58442EC3-6E38-429E-B5FC-118C4B5320E9}" name="дОЗ" dataDxfId="865">
      <calculatedColumnFormula>$CC$33</calculatedColumnFormula>
    </tableColumn>
    <tableColumn id="21" xr3:uid="{3E94A286-3BD7-490F-9DDC-5FC4C6AD8727}" name="дАЗ" dataDxfId="864">
      <calculatedColumnFormula>$CC$34</calculatedColumnFormula>
    </tableColumn>
  </tableColumns>
  <tableStyleInfo name="TableStyleLight8" showFirstColumn="0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6000000}" name="RedukciaDr" displayName="RedukciaDr" ref="A31:B34" totalsRowShown="0" headerRowDxfId="863" headerRowBorderDxfId="862" tableBorderDxfId="861" totalsRowBorderDxfId="860">
  <autoFilter ref="A31:B34" xr:uid="{00000000-0009-0000-0100-000018000000}"/>
  <tableColumns count="2">
    <tableColumn id="1" xr3:uid="{00000000-0010-0000-0600-000001000000}" name="Редукция малък брой докторанти" dataDxfId="859"/>
    <tableColumn id="2" xr3:uid="{00000000-0010-0000-0600-000002000000}" name="Коеф." dataDxfId="85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7000000}" name="Коефициент_Eзик" displayName="Коефициент_Eзик" ref="E5:F8" totalsRowShown="0">
  <autoFilter ref="E5:F8" xr:uid="{00000000-0009-0000-0100-000019000000}"/>
  <tableColumns count="2">
    <tableColumn id="1" xr3:uid="{00000000-0010-0000-0700-000001000000}" name="Език"/>
    <tableColumn id="2" xr3:uid="{00000000-0010-0000-0700-000002000000}" name="Коефициент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8000000}" name="RedukciaDr27" displayName="RedukciaDr27" ref="J39:K42" totalsRowShown="0" headerRowDxfId="857" headerRowBorderDxfId="856" tableBorderDxfId="855" totalsRowBorderDxfId="854">
  <autoFilter ref="J39:K42" xr:uid="{00000000-0009-0000-0100-00001A000000}"/>
  <tableColumns count="2">
    <tableColumn id="1" xr3:uid="{00000000-0010-0000-0800-000001000000}" name="Редукция малък брой докторанти" dataDxfId="853"/>
    <tableColumn id="2" xr3:uid="{00000000-0010-0000-0800-000002000000}" name="Коеф." dataDxfId="852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09000000}" name="T_кТО" displayName="T_кТО" ref="E11:F15" totalsRowShown="0" tableBorderDxfId="851">
  <autoFilter ref="E11:F15" xr:uid="{00000000-0009-0000-0100-00001B000000}"/>
  <tableColumns count="2">
    <tableColumn id="1" xr3:uid="{00000000-0010-0000-0900-000001000000}" name="Форма на обучение" dataDxfId="850"/>
    <tableColumn id="2" xr3:uid="{00000000-0010-0000-0900-000002000000}" name="Коефициент" dataDxfId="849">
      <calculatedColumnFormula>B8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FE1CB28-5B4E-405B-A73A-07E44C2FEC67}" name="T1_Практ_КР" displayName="T1_Практ_КР" ref="E18:G25" totalsRowShown="0" dataDxfId="848">
  <autoFilter ref="E18:G25" xr:uid="{AE1C89F2-2EAF-4213-8C51-2294CAD7F6DF}"/>
  <tableColumns count="3">
    <tableColumn id="1" xr3:uid="{4ABB1D37-201B-4BCC-AC5A-81A75D35833A}" name="Практика и курсова работа" dataDxfId="847"/>
    <tableColumn id="2" xr3:uid="{506A5E1E-24B7-41AF-8F38-54E39C8EAC4B}" name="Час/Група/Ден" dataDxfId="846"/>
    <tableColumn id="3" xr3:uid="{E379E8A2-314B-42D7-A401-33F5FF078E84}" name="Коефициент" dataDxfId="84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063E8C4-F232-4532-801B-C5EFDBFC0C90}" name="T_Практики" displayName="T_Практики" ref="N3:S10" totalsRowShown="0" headerRowDxfId="844" dataDxfId="842" headerRowBorderDxfId="843" tableBorderDxfId="841">
  <autoFilter ref="N3:S10" xr:uid="{B9394AB6-26E1-41E8-B3B5-A53B723FD325}"/>
  <tableColumns count="6">
    <tableColumn id="5" xr3:uid="{7A1C9C6D-948B-4D1B-8D15-85F48487D930}" name="№" dataDxfId="840">
      <calculatedColumnFormula>N(OFFSET(T_Практики[[#This Row],[№]],-1,0))+1</calculatedColumnFormula>
    </tableColumn>
    <tableColumn id="6" xr3:uid="{617AAAA8-5625-4322-B8FD-7929E51F91F0}" name="Практики и курсови работи" dataDxfId="839"/>
    <tableColumn id="1" xr3:uid="{62348818-392A-44A2-8BAB-5F9B7FB1B9B5}" name="Практика и курсова работа" dataDxfId="838"/>
    <tableColumn id="2" xr3:uid="{447AAAF0-63BF-490B-8FB8-B5F16D18E4F0}" name="Час" dataDxfId="837"/>
    <tableColumn id="3" xr3:uid="{92BA56D8-D8EB-425B-8830-DBCC37D51A55}" name="Група" dataDxfId="836"/>
    <tableColumn id="4" xr3:uid="{8C30FA8B-4CBC-4F68-8809-FBC40832E71B}" name="Ден" dataDxfId="835"/>
  </tableColumns>
  <tableStyleInfo name="TableStyleLight9" showFirstColumn="0" showLastColumn="1" showRowStripes="1" showColumnStripes="1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C1BD1D1-C476-415D-8374-0BA2E66B5F44}" name="T_ПодгКурс" displayName="T_ПодгКурс" ref="W3:AA12" totalsRowShown="0" dataDxfId="834">
  <autoFilter ref="W3:AA12" xr:uid="{47172D9A-0898-4D51-94E1-108BAAD65D24}"/>
  <tableColumns count="5">
    <tableColumn id="1" xr3:uid="{04BB3CD5-4755-46AD-A386-4F077EAEF957}" name="№" dataDxfId="833"/>
    <tableColumn id="2" xr3:uid="{4CAC9790-EFB0-40D1-9019-647E757539DB}" name="Дейност" dataDxfId="832"/>
    <tableColumn id="3" xr3:uid="{416DA355-43EB-4329-B961-5A7C9A75D690}" name="Форма на обучение" dataDxfId="831"/>
    <tableColumn id="5" xr3:uid="{023BDAE9-5FA1-4C66-A163-135DB5D90807}" name="код" dataDxfId="830">
      <calculatedColumnFormula>T_ПодгКурс[[#This Row],[Дейност]]&amp;"|"&amp;T_ПодгКурс[[#This Row],[Форма на обучение]]</calculatedColumnFormula>
    </tableColumn>
    <tableColumn id="4" xr3:uid="{14F73823-EBEA-4905-B340-883D69E456AA}" name="Коефициент" dataDxfId="829"/>
  </tableColumns>
  <tableStyleInfo name="TableStyleLight9" showFirstColumn="0" showLastColumn="0" showRowStripes="1" showColumnStripes="1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A000000}" name="T_УчебнаГодина" displayName="T_УчебнаГодина" ref="K3:K8" totalsRowShown="0" dataDxfId="828">
  <autoFilter ref="K3:K8" xr:uid="{00000000-0009-0000-0100-00001C000000}"/>
  <sortState xmlns:xlrd2="http://schemas.microsoft.com/office/spreadsheetml/2017/richdata2" ref="K4:K8">
    <sortCondition descending="1" ref="K3:K8"/>
  </sortState>
  <tableColumns count="1">
    <tableColumn id="1" xr3:uid="{00000000-0010-0000-0A00-000001000000}" name="Учебни години" dataDxfId="827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B000000}" name="T_Семестри" displayName="T_Семестри" ref="M3:R7" totalsRowShown="0">
  <autoFilter ref="M3:R7" xr:uid="{00000000-0009-0000-0100-00001F000000}"/>
  <tableColumns count="6">
    <tableColumn id="1" xr3:uid="{00000000-0010-0000-0B00-000001000000}" name="Семестър"/>
    <tableColumn id="2" xr3:uid="{00000000-0010-0000-0B00-000002000000}" name="Факултет/Катедра/Преподавател" dataDxfId="826">
      <calculatedColumnFormula>T(O4)&amp;" / "&amp;T(P4)&amp;" / "&amp;IFERROR(VLOOKUP(T_Семестри[[#This Row],[Акад. длъжн]],T_АкадДлъж[[Академична длъжност в СУ]:[акад. длъж]],2,0)&amp;" "&amp;T(R4),"----")</calculatedColumnFormula>
    </tableColumn>
    <tableColumn id="3" xr3:uid="{00000000-0010-0000-0B00-000003000000}" name="Факултет" dataDxfId="825">
      <calculatedColumnFormula>IFERROR('1. План'!$B$7,"Факултет")</calculatedColumnFormula>
    </tableColumn>
    <tableColumn id="4" xr3:uid="{00000000-0010-0000-0B00-000004000000}" name="Катедра" dataDxfId="824">
      <calculatedColumnFormula>IFERROR('1. План'!$B$9,"катедра")</calculatedColumnFormula>
    </tableColumn>
    <tableColumn id="6" xr3:uid="{B4AA3464-2F23-4298-8043-347229803FEF}" name="Акад. длъжн" dataDxfId="823">
      <calculatedColumnFormula>IFERROR('1. План'!B$14,"акад. длъж., ")</calculatedColumnFormula>
    </tableColumn>
    <tableColumn id="5" xr3:uid="{00000000-0010-0000-0B00-000005000000}" name="Преподавател">
      <calculatedColumnFormula>IFERROR('1. План'!$F$14,"Преподавател")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6C13B04-FA9C-434B-BA15-EABCF697B8B7}" name="T_АкадДлъж" displayName="T_АкадДлъж" ref="E47:G57" totalsRowShown="0">
  <autoFilter ref="E47:G57" xr:uid="{299FBEC8-233D-46F2-9FA3-976D4E5913C7}"/>
  <tableColumns count="3">
    <tableColumn id="1" xr3:uid="{3874078A-D281-43D8-9ED0-5491EB94F9DF}" name="№" dataDxfId="822"/>
    <tableColumn id="2" xr3:uid="{B99B2AAA-6A1D-46E7-A9DB-9A5F115BA7D9}" name="Академична длъжност в СУ"/>
    <tableColumn id="3" xr3:uid="{DFFBCB8C-49A0-40E1-9ED7-1356ECD590EB}" name="акад. длъж"/>
  </tableColumns>
  <tableStyleInfo name="TableStyleLight9" showFirstColumn="0" showLastColumn="0" showRowStripes="1" showColumnStripes="1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57B7A98-5849-454C-AB3F-5194670F2E8F}" name="T_Show_Hide" displayName="T_Show_Hide" ref="D59:H99" totalsRowShown="0">
  <autoFilter ref="D59:H99" xr:uid="{F317AA60-179E-484D-B80F-7280495B723D}"/>
  <tableColumns count="5">
    <tableColumn id="1" xr3:uid="{95E847AC-3CE2-4124-841F-C8EA6E56D31A}" name="Семестър" dataDxfId="821"/>
    <tableColumn id="2" xr3:uid="{6E6A3FE8-369B-4A0A-B4A4-044B27F27D29}" name="ShowHide" dataDxfId="820"/>
    <tableColumn id="4" xr3:uid="{A6487A7B-AD2E-4955-807E-BC4144BB2CE5}" name="Object" dataDxfId="819"/>
    <tableColumn id="3" xr3:uid="{89E6D60A-349A-4475-9589-490283409F04}" name="Name"/>
    <tableColumn id="5" xr3:uid="{41E94CF6-32EA-4A86-9A40-741EC2228081}" name="Sheet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C000000}" name="Table40" displayName="Table40" ref="A4:B30" totalsRowShown="0" dataDxfId="818">
  <autoFilter ref="A4:B30" xr:uid="{00000000-0009-0000-0100-000028000000}"/>
  <sortState xmlns:xlrd2="http://schemas.microsoft.com/office/spreadsheetml/2017/richdata2" ref="A5:B30">
    <sortCondition descending="1" ref="A4:A30"/>
  </sortState>
  <tableColumns count="2">
    <tableColumn id="1" xr3:uid="{00000000-0010-0000-0C00-000001000000}" name="Дата" dataDxfId="817"/>
    <tableColumn id="2" xr3:uid="{00000000-0010-0000-0C00-000002000000}" name="В този вариант са направени следните корекции и подобрения:" dataDxfId="816"/>
  </tableColumns>
  <tableStyleInfo name="TS_Total_Row 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184CD28-C599-4391-B816-6882A35C33AE}" name="Table34" displayName="Table34" ref="U31:X38" totalsRowShown="0" headerRowDxfId="814" dataDxfId="813">
  <autoFilter ref="U31:X38" xr:uid="{2FD21137-5285-4B4A-B943-1E1F79A7397C}"/>
  <tableColumns count="4">
    <tableColumn id="1" xr3:uid="{6117BE87-D20E-4CA7-B395-12B16B9BB552}" name="Практика" dataDxfId="812">
      <calculatedColumnFormula>Coef!P4</calculatedColumnFormula>
    </tableColumn>
    <tableColumn id="2" xr3:uid="{76F7EF8D-80B7-48CF-BEB6-7B45E59A435F}" name="Часа" dataDxfId="811">
      <calculatedColumnFormula>VLOOKUP($U32,T_Практики[[Практика и курсова работа]:[Ден]],COLUMN(B1),0)</calculatedColumnFormula>
    </tableColumn>
    <tableColumn id="3" xr3:uid="{8AD807AA-68AF-4E0F-BEE2-B32825CDEB42}" name="Група" dataDxfId="810">
      <calculatedColumnFormula>VLOOKUP($U32,T_Практики[[Практика и курсова работа]:[Ден]],COLUMN(C1),0)</calculatedColumnFormula>
    </tableColumn>
    <tableColumn id="4" xr3:uid="{13C15673-454D-498D-A833-3B6A5BCB2167}" name="Ден" dataDxfId="809">
      <calculatedColumnFormula>VLOOKUP($U32,T_Практики[[Практика и курсова работа]:[Ден]],COLUMN(D1),0)</calculatedColumnFormula>
    </tableColumn>
  </tableColumns>
  <tableStyleInfo name="TableStyleLight9" showFirstColumn="0" showLastColumn="1" showRowStripes="1" showColumnStripes="1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D000000}" name="BAZZS" displayName="BAZZS" ref="C30:AB49" headerRowDxfId="781" dataDxfId="779" totalsRowDxfId="778" headerRowBorderDxfId="780">
  <tableColumns count="26">
    <tableColumn id="37" xr3:uid="{00000000-0010-0000-0D00-000025000000}" name="пВИД" dataDxfId="777" totalsRowDxfId="776">
      <calculatedColumnFormula>AND(LEN(BAZZS[[#This Row],[Дисциплина]]&amp;BAZZS[[#This Row],[Специалност]]&amp;BAZZS[[#This Row],[Факултет]])&gt;0,LEN(BAZZS[[#This Row],[Вид]])=0)*1</calculatedColumnFormula>
    </tableColumn>
    <tableColumn id="27" xr3:uid="{00000000-0010-0000-0D00-00001B000000}" name="пСтуденти" dataDxfId="775" totalsRowDxfId="774">
      <calculatedColumnFormula>IF(AND(BAZZS[[#This Row],[Дисциплина]]&lt;&gt;0,OR(BAZZS[[#This Row],[Лекции]]&lt;&gt;0,BAZZS[[#This Row],[Упражнения]]&lt;&gt;0),BAZZS[[#This Row],[Студенти]]=0),1,0)</calculatedColumnFormula>
    </tableColumn>
    <tableColumn id="28" xr3:uid="{00000000-0010-0000-0D00-00001C000000}" name="пИзпитани" dataDxfId="773" totalsRowDxfId="772">
      <calculatedColumnFormula>IF(AND(BAZZS[[#This Row],[Изпитани]]&lt;&gt;0,BAZZS[[#This Row],[Изпитващ]]=0),1,0)</calculatedColumnFormula>
    </tableColumn>
    <tableColumn id="29" xr3:uid="{00000000-0010-0000-0D00-00001D000000}" name="кЕзик" dataDxfId="771" totalsRowDxfId="770">
      <calculatedColumnFormula>IFERROR(VLOOKUP(BAZZS[[#This Row],[Език]],Коефициент_Eзик[],2,0),0)</calculatedColumnFormula>
    </tableColumn>
    <tableColumn id="30" xr3:uid="{00000000-0010-0000-0D00-00001E000000}" name="кСтуденти" dataDxfId="769" totalsRowDxfId="768">
      <calculatedColumnFormula>IFERROR(IF(AND(BAZZS[[#This Row],[Студенти]]&gt;0,OR(BAZZS[[#This Row],[Вид]]="З",BAZZS[[#This Row],[Студенти]]&gt;=6)),1,VLOOKUP(BAZZS[[#This Row],[Студенти]],RdukciaChasove[],2,0)),0)</calculatedColumnFormula>
    </tableColumn>
    <tableColumn id="31" xr3:uid="{00000000-0010-0000-0D00-00001F000000}" name="кИзпитващ" dataDxfId="767" totalsRowDxfId="766">
      <calculatedColumnFormula>IFERROR(IF(T(BAZZS[[#This Row],[Изпитващ]])="",0,IF(AND('1. Планд'!$B$6=list!$A$11,BAZZS[[#This Row],[ФормаОц]]=list!$A$66),Coef!$B$8,VLOOKUP(BAZZS[[#This Row],[Изпитващ]],Koef.ocenqvane[],2,0))),0)</calculatedColumnFormula>
    </tableColumn>
    <tableColumn id="32" xr3:uid="{00000000-0010-0000-0D00-000020000000}" name="кTO" dataDxfId="765" totalsRowDxfId="764">
      <calculatedColumnFormula>IFERROR(IF(BAZZS[[#This Row],[ФормаОб]]=list!$A$55,Coef!$B$10,Coef!$B$9),0)</calculatedColumnFormula>
    </tableColumn>
    <tableColumn id="35" xr3:uid="{00000000-0010-0000-0D00-000023000000}" name="чЛекции" dataDxfId="763">
      <calculatedColumnFormula>N(BAZZS[[#This Row],[Лекции]])*BAZZS[[#This Row],[кЕзик]]*BAZZS[[#This Row],[кСтуденти]]*кЛекции</calculatedColumnFormula>
    </tableColumn>
    <tableColumn id="36" xr3:uid="{00000000-0010-0000-0D00-000024000000}" name="чУпражнение" dataDxfId="762" totalsRowDxfId="761">
      <calculatedColumnFormula>N(BAZZS[[#This Row],[Упражнения]])*BAZZS[[#This Row],[кЕзик]]*BAZZS[[#This Row],[кСтуденти]]*кУпражнение</calculatedColumnFormula>
    </tableColumn>
    <tableColumn id="34" xr3:uid="{00000000-0010-0000-0D00-000022000000}" name="чИзпитани" totalsRowFunction="sum" dataDxfId="760" totalsRowDxfId="759">
      <calculatedColumnFormula>N(BAZZS[[#This Row],[Изпитани]])*BAZZS[[#This Row],[кИзпитващ]]</calculatedColumnFormula>
    </tableColumn>
    <tableColumn id="33" xr3:uid="{00000000-0010-0000-0D00-000021000000}" name="чTO" totalsRowFunction="sum" dataDxfId="758" totalsRowDxfId="757">
      <calculatedColumnFormula>BAZZS[[#This Row],[ТО]]*BAZZS[[#This Row],[кTO]]</calculatedColumnFormula>
    </tableColumn>
    <tableColumn id="1" xr3:uid="{00000000-0010-0000-0D00-000001000000}" name="Дисциплина" dataDxfId="756" totalsRowDxfId="755"/>
    <tableColumn id="2" xr3:uid="{00000000-0010-0000-0D00-000002000000}" name="Специалност" dataDxfId="754" totalsRowDxfId="753"/>
    <tableColumn id="3" xr3:uid="{00000000-0010-0000-0D00-000003000000}" name="Факултет" dataDxfId="752" totalsRowDxfId="751"/>
    <tableColumn id="4" xr3:uid="{00000000-0010-0000-0D00-000004000000}" name="Вид" dataDxfId="750" totalsRowDxfId="749"/>
    <tableColumn id="5" xr3:uid="{00000000-0010-0000-0D00-000005000000}" name="Курс" dataDxfId="748" totalsRowDxfId="747"/>
    <tableColumn id="6" xr3:uid="{00000000-0010-0000-0D00-000006000000}" name="ФормаОб" dataDxfId="746" totalsRowDxfId="745"/>
    <tableColumn id="7" xr3:uid="{00000000-0010-0000-0D00-000007000000}" name="Студенти" dataDxfId="744" totalsRowDxfId="743"/>
    <tableColumn id="8" xr3:uid="{00000000-0010-0000-0D00-000008000000}" name="Лекции" dataDxfId="742" totalsRowDxfId="741"/>
    <tableColumn id="9" xr3:uid="{00000000-0010-0000-0D00-000009000000}" name="Упражнения" dataDxfId="740" totalsRowDxfId="739"/>
    <tableColumn id="10" xr3:uid="{00000000-0010-0000-0D00-00000A000000}" name="Език" dataDxfId="738" totalsRowDxfId="737"/>
    <tableColumn id="11" xr3:uid="{00000000-0010-0000-0D00-00000B000000}" name="ФормаОц" dataDxfId="736" totalsRowDxfId="735"/>
    <tableColumn id="12" xr3:uid="{00000000-0010-0000-0D00-00000C000000}" name="Изпитващ" dataDxfId="734" totalsRowDxfId="733"/>
    <tableColumn id="13" xr3:uid="{00000000-0010-0000-0D00-00000D000000}" name="Изпитани" dataDxfId="732" totalsRowDxfId="731"/>
    <tableColumn id="22" xr3:uid="{00000000-0010-0000-0D00-000016000000}" name="ТО" dataDxfId="730" totalsRowDxfId="729"/>
    <tableColumn id="23" xr3:uid="{00000000-0010-0000-0D00-000017000000}" name="КР" totalsRowFunction="sum" dataDxfId="728" totalsRowDxfId="727"/>
  </tableColumns>
  <tableStyleInfo name="TS_Total_Row 2" showFirstColumn="0" showLastColumn="0" showRowStripes="0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E000000}" name="BAZLS" displayName="BAZLS" ref="C79:AB98" headerRowDxfId="726" dataDxfId="724" totalsRowDxfId="723" headerRowBorderDxfId="725">
  <tableColumns count="26">
    <tableColumn id="37" xr3:uid="{00000000-0010-0000-0E00-000025000000}" name="пВИД" dataDxfId="722" totalsRowDxfId="721">
      <calculatedColumnFormula>AND(BAZLS[[#This Row],[Дисциплина]]&lt;&gt;0,BAZLS[[#This Row],[Вид]]&lt;&gt;list!A$53,BAZLS[[#This Row],[Вид]]&lt;&gt;list!A$54,BAZLS[[#This Row],[Вид]]&lt;&gt;list!A$55)*1</calculatedColumnFormula>
    </tableColumn>
    <tableColumn id="27" xr3:uid="{00000000-0010-0000-0E00-00001B000000}" name="пСтуденти" dataDxfId="720" totalsRowDxfId="719">
      <calculatedColumnFormula>AND(LEN(BAZLS[[#This Row],[Дисциплина]])&gt;0,OR(BAZLS[[#This Row],[Лекции]]&gt;0,BAZLS[[#This Row],[Упражнения]]&gt;0),BAZLS[[#This Row],[Студенти]]=0)*1</calculatedColumnFormula>
    </tableColumn>
    <tableColumn id="28" xr3:uid="{00000000-0010-0000-0E00-00001C000000}" name="пИзпитани" dataDxfId="718" totalsRowDxfId="717">
      <calculatedColumnFormula>AND(N(BAZLS[[#This Row],[Изпитани]])&gt;0,BAZLS[[#This Row],[Изпитващ]]=0)*1</calculatedColumnFormula>
    </tableColumn>
    <tableColumn id="29" xr3:uid="{00000000-0010-0000-0E00-00001D000000}" name="кЕзик" dataDxfId="716" totalsRowDxfId="715">
      <calculatedColumnFormula>IFERROR(VLOOKUP(BAZLS[[#This Row],[Език]],Коефициент_Eзик[],2,0),0)</calculatedColumnFormula>
    </tableColumn>
    <tableColumn id="30" xr3:uid="{00000000-0010-0000-0E00-00001E000000}" name="кСтуденти" dataDxfId="714" totalsRowDxfId="713">
      <calculatedColumnFormula>IFERROR(IF(AND(BAZLS[[#This Row],[Студенти]]&gt;0,OR(BAZLS[[#This Row],[Вид]]="З",BAZLS[[#This Row],[Студенти]]&gt;=6)),1,VLOOKUP(BAZLS[[#This Row],[Студенти]],RdukciaChasove[],2,0)),0)</calculatedColumnFormula>
    </tableColumn>
    <tableColumn id="31" xr3:uid="{00000000-0010-0000-0E00-00001F000000}" name="кИзпитващ" dataDxfId="712" totalsRowDxfId="711">
      <calculatedColumnFormula>IFERROR(IF(LEN(BAZLS[[#This Row],[Изпитващ]])=0,0,IF(AND('1. Планд'!$B$6=list!$A$11,BAZLS[[#This Row],[ФормаОц]]=list!$A$66),Coef!$B$8,VLOOKUP(BAZLS[[#This Row],[Изпитващ]],Koef.ocenqvane[],2,0))),0)</calculatedColumnFormula>
    </tableColumn>
    <tableColumn id="32" xr3:uid="{00000000-0010-0000-0E00-000020000000}" name="кTO" dataDxfId="710" totalsRowDxfId="709">
      <calculatedColumnFormula>IFERROR(IF(BAZLS[[#This Row],[ФормаОб]]=list!$A$55,Coef!$B$10,Coef!$B$9),0)</calculatedColumnFormula>
    </tableColumn>
    <tableColumn id="35" xr3:uid="{00000000-0010-0000-0E00-000023000000}" name="чЛекции" dataDxfId="708" totalsRowDxfId="707">
      <calculatedColumnFormula>N(BAZLS[[#This Row],[Лекции]])*BAZLS[[#This Row],[кЕзик]]*BAZLS[[#This Row],[кСтуденти]]*кЛекции</calculatedColumnFormula>
    </tableColumn>
    <tableColumn id="36" xr3:uid="{00000000-0010-0000-0E00-000024000000}" name="чУпражнение" dataDxfId="706" totalsRowDxfId="705">
      <calculatedColumnFormula>N(BAZLS[[#This Row],[Упражнения]])*BAZLS[[#This Row],[кЕзик]]*BAZLS[[#This Row],[кСтуденти]]*кУпражнение</calculatedColumnFormula>
    </tableColumn>
    <tableColumn id="34" xr3:uid="{00000000-0010-0000-0E00-000022000000}" name="чИзпитани" totalsRowFunction="sum" dataDxfId="704" totalsRowDxfId="703">
      <calculatedColumnFormula>N(BAZLS[[#This Row],[Изпитани]])*BAZLS[[#This Row],[кИзпитващ]]</calculatedColumnFormula>
    </tableColumn>
    <tableColumn id="33" xr3:uid="{00000000-0010-0000-0E00-000021000000}" name="чTO" totalsRowFunction="sum" dataDxfId="702" totalsRowDxfId="701">
      <calculatedColumnFormula>BAZLS[[#This Row],[ТО]]*BAZLS[[#This Row],[кTO]]</calculatedColumnFormula>
    </tableColumn>
    <tableColumn id="1" xr3:uid="{00000000-0010-0000-0E00-000001000000}" name="Дисциплина" dataDxfId="700" totalsRowDxfId="699"/>
    <tableColumn id="2" xr3:uid="{00000000-0010-0000-0E00-000002000000}" name="Специалност" dataDxfId="698" totalsRowDxfId="697"/>
    <tableColumn id="3" xr3:uid="{00000000-0010-0000-0E00-000003000000}" name="Факултет" dataDxfId="696" totalsRowDxfId="695"/>
    <tableColumn id="4" xr3:uid="{00000000-0010-0000-0E00-000004000000}" name="Вид" dataDxfId="694" totalsRowDxfId="693"/>
    <tableColumn id="5" xr3:uid="{00000000-0010-0000-0E00-000005000000}" name="Курс" dataDxfId="692" totalsRowDxfId="691"/>
    <tableColumn id="6" xr3:uid="{00000000-0010-0000-0E00-000006000000}" name="ФормаОб" dataDxfId="690" totalsRowDxfId="689"/>
    <tableColumn id="7" xr3:uid="{00000000-0010-0000-0E00-000007000000}" name="Студенти" dataDxfId="688" totalsRowDxfId="687"/>
    <tableColumn id="8" xr3:uid="{00000000-0010-0000-0E00-000008000000}" name="Лекции" dataDxfId="686" totalsRowDxfId="685"/>
    <tableColumn id="9" xr3:uid="{00000000-0010-0000-0E00-000009000000}" name="Упражнения" dataDxfId="684" totalsRowDxfId="683"/>
    <tableColumn id="10" xr3:uid="{00000000-0010-0000-0E00-00000A000000}" name="Език" dataDxfId="682" totalsRowDxfId="681"/>
    <tableColumn id="11" xr3:uid="{00000000-0010-0000-0E00-00000B000000}" name="ФормаОц" dataDxfId="680" totalsRowDxfId="679"/>
    <tableColumn id="12" xr3:uid="{00000000-0010-0000-0E00-00000C000000}" name="Изпитващ" dataDxfId="678" totalsRowDxfId="677"/>
    <tableColumn id="13" xr3:uid="{00000000-0010-0000-0E00-00000D000000}" name="Изпитани" dataDxfId="676" totalsRowDxfId="675"/>
    <tableColumn id="22" xr3:uid="{00000000-0010-0000-0E00-000016000000}" name="ТО" dataDxfId="674" totalsRowDxfId="673"/>
    <tableColumn id="23" xr3:uid="{00000000-0010-0000-0E00-000017000000}" name="КР" totalsRowFunction="sum" dataDxfId="672" totalsRowDxfId="671"/>
  </tableColumns>
  <tableStyleInfo name="TS_Total_Row 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F000000}" name="BPZS" displayName="BPZS" ref="D55:AB65" headerRowDxfId="670" dataDxfId="668" totalsRowDxfId="667" headerRowBorderDxfId="669">
  <tableColumns count="25">
    <tableColumn id="21" xr3:uid="{2229D51C-EFBA-4C63-AE69-6EF713A4008F}" name="пВидПрактика" dataDxfId="666" totalsRowDxfId="665">
      <calculatedColumnFormula>IFERROR(MATCH(BPZS[[#This Row],[ВидПрактика]],T_Практики[Практика и курсова работа],0),0)</calculatedColumnFormula>
    </tableColumn>
    <tableColumn id="22" xr3:uid="{F6DD0EAB-2A14-4494-A0D0-7232FA5D1569}" name="уфГрупа" dataDxfId="664">
      <calculatedColumnFormula>IF(BPZS[[#This Row],[пВидПрактика]],INDEX(T_Практики[Група],BPZS[[#This Row],[пВидПрактика]]),"-")</calculatedColumnFormula>
    </tableColumn>
    <tableColumn id="30" xr3:uid="{02533A36-5B4E-48DA-AD75-389A6DCFECFF}" name="уфДен" dataDxfId="663" totalsRowDxfId="662">
      <calculatedColumnFormula>IF(BPZS[[#This Row],[пВидПрактика]],INDEX(T_Практики[Ден],BPZS[[#This Row],[пВидПрактика]])*2,"-")</calculatedColumnFormula>
    </tableColumn>
    <tableColumn id="31" xr3:uid="{DCB5DF21-7090-4630-8A44-863D770CB059}" name="пФорма" dataDxfId="661" totalsRowDxfId="660">
      <calculatedColumnFormula>IFERROR(AND(BPZS[[#This Row],[ТО]]&lt;&gt;0,BPZS[[#This Row],[ФормаОб]]=0)*1,0)</calculatedColumnFormula>
    </tableColumn>
    <tableColumn id="16" xr3:uid="{00000000-0010-0000-0F00-000010000000}" name="пИзпитани" dataDxfId="659" totalsRowDxfId="658">
      <calculatedColumnFormula>IFERROR(AND(BPZS[[#This Row],[Изпитани]]&lt;&gt;0,LEN(BPZS[[#This Row],[Изпитващ]])=0)*1,0)</calculatedColumnFormula>
    </tableColumn>
    <tableColumn id="14" xr3:uid="{00000000-0010-0000-0F00-00000E000000}" name="кИзпитващ" dataDxfId="657" totalsRowDxfId="656">
      <calculatedColumnFormula>IFERROR(IF(T(BPZS[[#This Row],[Изпитващ]])="",0,IF(AND('1. Планд'!$B$6=list!$A$11,BPZS[[#This Row],[ФормаОц]]=list!$A$66),Coef!$B$8,VLOOKUP(BPZS[[#This Row],[Изпитващ]],Koef.ocenqvane[],2,0))),0)</calculatedColumnFormula>
    </tableColumn>
    <tableColumn id="13" xr3:uid="{00000000-0010-0000-0F00-00000D000000}" name="кTO" dataDxfId="655" totalsRowDxfId="654">
      <calculatedColumnFormula>IFERROR(IF(BPZS[[#This Row],[ФормаОб]]=list!$A$55,Coef!$B$10,Coef!$B$9),0)</calculatedColumnFormula>
    </tableColumn>
    <tableColumn id="15" xr3:uid="{00000000-0010-0000-0F00-00000F000000}" name="чПрактика" totalsRowFunction="sum" dataDxfId="653" totalsRowDxfId="652">
      <calculatedColumnFormula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calculatedColumnFormula>
    </tableColumn>
    <tableColumn id="17" xr3:uid="{00000000-0010-0000-0F00-000011000000}" name="чИзпитани" totalsRowFunction="sum" dataDxfId="651" totalsRowDxfId="650">
      <calculatedColumnFormula>BPZS[[#This Row],[кИзпитващ]]*N(BPZS[[#This Row],[Изпитани]])</calculatedColumnFormula>
    </tableColumn>
    <tableColumn id="18" xr3:uid="{00000000-0010-0000-0F00-000012000000}" name="чTO" dataDxfId="649" totalsRowDxfId="648">
      <calculatedColumnFormula>N(BPZS[[#This Row],[ТО]])*N(BPZS[[#This Row],[кTO]])</calculatedColumnFormula>
    </tableColumn>
    <tableColumn id="1" xr3:uid="{00000000-0010-0000-0F00-000001000000}" name="Наименование на практика/курсова работа" dataDxfId="647" totalsRowDxfId="646"/>
    <tableColumn id="2" xr3:uid="{00000000-0010-0000-0F00-000002000000}" name="Специалност" dataDxfId="645" totalsRowDxfId="644"/>
    <tableColumn id="3" xr3:uid="{00000000-0010-0000-0F00-000003000000}" name="Факултет" dataDxfId="643" totalsRowDxfId="642"/>
    <tableColumn id="4" xr3:uid="{00000000-0010-0000-0F00-000004000000}" name="Вид" dataDxfId="641" totalsRowDxfId="640"/>
    <tableColumn id="5" xr3:uid="{00000000-0010-0000-0F00-000005000000}" name="Курс" dataDxfId="639" totalsRowDxfId="638"/>
    <tableColumn id="6" xr3:uid="{00000000-0010-0000-0F00-000006000000}" name="ФормаОб" dataDxfId="637" totalsRowDxfId="636"/>
    <tableColumn id="7" xr3:uid="{00000000-0010-0000-0F00-000007000000}" name="Студенти" dataDxfId="635" totalsRowDxfId="634"/>
    <tableColumn id="26" xr3:uid="{7B9EFB11-BCF4-4224-9939-736610AF771B}" name="ВидПрактика" dataDxfId="633" totalsRowDxfId="632"/>
    <tableColumn id="27" xr3:uid="{15C0ED4B-8977-4F06-B63A-1344A796C54F}" name="Група" dataDxfId="631" totalsRowDxfId="630"/>
    <tableColumn id="29" xr3:uid="{DD2AD399-22E8-4183-8905-E0EFD6CB128A}" name="Ден" dataDxfId="629" totalsRowDxfId="628"/>
    <tableColumn id="8" xr3:uid="{00000000-0010-0000-0F00-000008000000}" name="ФормаОц" dataDxfId="627" totalsRowDxfId="626"/>
    <tableColumn id="9" xr3:uid="{00000000-0010-0000-0F00-000009000000}" name="Изпитващ" dataDxfId="625" totalsRowDxfId="624"/>
    <tableColumn id="10" xr3:uid="{00000000-0010-0000-0F00-00000A000000}" name="Изпитани" dataDxfId="623" totalsRowDxfId="622"/>
    <tableColumn id="11" xr3:uid="{00000000-0010-0000-0F00-00000B000000}" name="ТО" totalsRowFunction="sum" dataDxfId="621" totalsRowDxfId="620"/>
    <tableColumn id="12" xr3:uid="{00000000-0010-0000-0F00-00000C000000}" name="КР" totalsRowFunction="sum" dataDxfId="619" totalsRowDxfId="618"/>
  </tableColumns>
  <tableStyleInfo name="TS_Total_Row 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0000000}" name="BDiplomiraneZS" displayName="BDiplomiraneZS" ref="N70:R73" headerRowDxfId="617" dataDxfId="616" totalsRowDxfId="615">
  <tableColumns count="5">
    <tableColumn id="1" xr3:uid="{00000000-0010-0000-1000-000001000000}" name="Специалност" dataDxfId="614" totalsRowDxfId="613"/>
    <tableColumn id="2" xr3:uid="{00000000-0010-0000-1000-000002000000}" name="Факултет" dataDxfId="612" totalsRowDxfId="611"/>
    <tableColumn id="3" xr3:uid="{00000000-0010-0000-1000-000003000000}" name="ДР" totalsRowFunction="sum" dataDxfId="610" totalsRowDxfId="609"/>
    <tableColumn id="4" xr3:uid="{00000000-0010-0000-1000-000004000000}" name="Рецензии" totalsRowFunction="sum" dataDxfId="608" totalsRowDxfId="607"/>
    <tableColumn id="5" xr3:uid="{00000000-0010-0000-1000-000005000000}" name="И/ДИ/З" totalsRowFunction="sum" dataDxfId="606" totalsRowDxfId="605"/>
  </tableColumns>
  <tableStyleInfo name="TS_Total_Row 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1000000}" name="BPLS" displayName="BPLS" ref="D104:AB114" headerRowDxfId="604" dataDxfId="602" totalsRowDxfId="601" headerRowBorderDxfId="603">
  <tableColumns count="25">
    <tableColumn id="21" xr3:uid="{3B3A69DA-3239-40D4-9E52-E3DCBD025CDC}" name="пВидПрактика" dataDxfId="600" totalsRowDxfId="599">
      <calculatedColumnFormula>IFERROR(MATCH(BPLS[[#This Row],[ВидПрактика]],T_Практики[Практика и курсова работа],0),0)</calculatedColumnFormula>
    </tableColumn>
    <tableColumn id="23" xr3:uid="{F0394635-D468-4E96-8B0E-124D57162CFA}" name="уфГрупа" dataDxfId="598" totalsRowDxfId="597">
      <calculatedColumnFormula>IF(BPLS[[#This Row],[пВидПрактика]],INDEX(T_Практики[Група],BPLS[[#This Row],[пВидПрактика]]),"-")</calculatedColumnFormula>
    </tableColumn>
    <tableColumn id="24" xr3:uid="{7378E827-6AAD-47AA-B370-6CD0AE59ECFC}" name="уфДен" dataDxfId="596" totalsRowDxfId="595">
      <calculatedColumnFormula>IF(BPLS[[#This Row],[пВидПрактика]],INDEX(T_Практики[Ден],BPLS[[#This Row],[пВидПрактика]])*2,"-")</calculatedColumnFormula>
    </tableColumn>
    <tableColumn id="16" xr3:uid="{00000000-0010-0000-1100-000010000000}" name="пФорма" dataDxfId="594" totalsRowDxfId="593">
      <calculatedColumnFormula>IF(AND(BPLS[[#This Row],[ТО]]&lt;&gt;0,BPLS[[#This Row],[ФормаОб]]=0),1,0)</calculatedColumnFormula>
    </tableColumn>
    <tableColumn id="14" xr3:uid="{00000000-0010-0000-1100-00000E000000}" name="пИзпитани" dataDxfId="592" totalsRowDxfId="591">
      <calculatedColumnFormula>IF(AND(BPLS[[#This Row],[Изпитани]]&lt;&gt;0,BPLS[[#This Row],[Изпитващ]]=0),1,0)</calculatedColumnFormula>
    </tableColumn>
    <tableColumn id="13" xr3:uid="{00000000-0010-0000-1100-00000D000000}" name="кИзпитващ" dataDxfId="590" totalsRowDxfId="589">
      <calculatedColumnFormula>IFERROR(IF(LEN(BPLS[[#This Row],[Изпитващ]])=0,0,IF(AND('1. Планд'!$B$6=list!$A$11,BPLS[[#This Row],[ФормаОц]]=list!$A$66),Coef!$B$8,VLOOKUP(BPLS[[#This Row],[Изпитващ]],Koef.ocenqvane[],2,0))),0)</calculatedColumnFormula>
    </tableColumn>
    <tableColumn id="18" xr3:uid="{00000000-0010-0000-1100-000012000000}" name="кTO" dataDxfId="588" totalsRowDxfId="587">
      <calculatedColumnFormula>IFERROR(IF(BPLS[[#This Row],[ФормаОб]]=list!$A$55,Coef!$B$10,Coef!$B$9),0)</calculatedColumnFormula>
    </tableColumn>
    <tableColumn id="25" xr3:uid="{254F26B3-091D-4E71-BB24-CF09CDC1E914}" name="чПрактика" dataDxfId="586" totalsRowDxfId="585">
      <calculatedColumnFormula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calculatedColumnFormula>
    </tableColumn>
    <tableColumn id="15" xr3:uid="{00000000-0010-0000-1100-00000F000000}" name="чИзпитани" totalsRowFunction="sum" dataDxfId="584" totalsRowDxfId="583">
      <calculatedColumnFormula>BPLS[[#This Row],[кИзпитващ]]*BPLS[[#This Row],[Изпитани]]</calculatedColumnFormula>
    </tableColumn>
    <tableColumn id="17" xr3:uid="{00000000-0010-0000-1100-000011000000}" name="чTO" totalsRowFunction="sum" dataDxfId="582" totalsRowDxfId="581">
      <calculatedColumnFormula>BPLS[[#This Row],[ТО]]*BPLS[[#This Row],[кTO]]</calculatedColumnFormula>
    </tableColumn>
    <tableColumn id="1" xr3:uid="{00000000-0010-0000-1100-000001000000}" name="Наименование на практика/курсова работа" dataDxfId="580" totalsRowDxfId="579"/>
    <tableColumn id="2" xr3:uid="{00000000-0010-0000-1100-000002000000}" name="Специалност" dataDxfId="578" totalsRowDxfId="577"/>
    <tableColumn id="3" xr3:uid="{00000000-0010-0000-1100-000003000000}" name="Факултет" dataDxfId="576" totalsRowDxfId="575"/>
    <tableColumn id="4" xr3:uid="{00000000-0010-0000-1100-000004000000}" name="Вид" dataDxfId="574" totalsRowDxfId="573"/>
    <tableColumn id="5" xr3:uid="{00000000-0010-0000-1100-000005000000}" name="Курс" dataDxfId="572" totalsRowDxfId="571"/>
    <tableColumn id="6" xr3:uid="{00000000-0010-0000-1100-000006000000}" name="ФормаОб" dataDxfId="570" totalsRowDxfId="569"/>
    <tableColumn id="7" xr3:uid="{00000000-0010-0000-1100-000007000000}" name="Студенти" dataDxfId="568" totalsRowDxfId="567"/>
    <tableColumn id="19" xr3:uid="{45CC6937-F759-42E1-8320-116CF2CBDB1E}" name="ВидПрактика" dataDxfId="566" totalsRowDxfId="565"/>
    <tableColumn id="22" xr3:uid="{3ABCF4E1-5368-4E6A-BF10-3E6F75C6FAE3}" name="Група" dataDxfId="564" totalsRowDxfId="563"/>
    <tableColumn id="20" xr3:uid="{128891E8-8987-42CA-99C7-4FA7F7A96A8C}" name="Ден" dataDxfId="562" totalsRowDxfId="561"/>
    <tableColumn id="8" xr3:uid="{00000000-0010-0000-1100-000008000000}" name="ФормаОц" dataDxfId="560" totalsRowDxfId="559"/>
    <tableColumn id="9" xr3:uid="{00000000-0010-0000-1100-000009000000}" name="Изпитващ" dataDxfId="558" totalsRowDxfId="557"/>
    <tableColumn id="10" xr3:uid="{00000000-0010-0000-1100-00000A000000}" name="Изпитани" dataDxfId="556" totalsRowDxfId="555"/>
    <tableColumn id="11" xr3:uid="{00000000-0010-0000-1100-00000B000000}" name="ТО" totalsRowFunction="sum" dataDxfId="554" totalsRowDxfId="553"/>
    <tableColumn id="12" xr3:uid="{00000000-0010-0000-1100-00000C000000}" name="КР" totalsRowFunction="sum" dataDxfId="552" totalsRowDxfId="551"/>
  </tableColumns>
  <tableStyleInfo name="TS_Total_Row 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2000000}" name="BDiplomiraneLS" displayName="BDiplomiraneLS" ref="N119:R122" headerRowDxfId="550" dataDxfId="549" totalsRowDxfId="548">
  <tableColumns count="5">
    <tableColumn id="1" xr3:uid="{00000000-0010-0000-1200-000001000000}" name="Специалност" dataDxfId="547" totalsRowDxfId="546"/>
    <tableColumn id="2" xr3:uid="{00000000-0010-0000-1200-000002000000}" name="Факултет" dataDxfId="545" totalsRowDxfId="544"/>
    <tableColumn id="3" xr3:uid="{00000000-0010-0000-1200-000003000000}" name="ДР" totalsRowFunction="sum" dataDxfId="543" totalsRowDxfId="542"/>
    <tableColumn id="4" xr3:uid="{00000000-0010-0000-1200-000004000000}" name="Рецензии" totalsRowFunction="sum" dataDxfId="541" totalsRowDxfId="540"/>
    <tableColumn id="5" xr3:uid="{00000000-0010-0000-1200-000005000000}" name="И/ДИ/З" totalsRowFunction="sum" dataDxfId="539" totalsRowDxfId="538"/>
  </tableColumns>
  <tableStyleInfo name="TS_Total_Row 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3000000}" name="PotokB" displayName="PotokB" ref="N128:W141" headerRowDxfId="537" dataDxfId="536" totalsRowDxfId="535">
  <tableColumns count="10">
    <tableColumn id="1" xr3:uid="{00000000-0010-0000-1300-000001000000}" name="Дисциплина" dataDxfId="534" totalsRowDxfId="533"/>
    <tableColumn id="2" xr3:uid="{00000000-0010-0000-1300-000002000000}" name="Програма" dataDxfId="532" totalsRowDxfId="531"/>
    <tableColumn id="3" xr3:uid="{00000000-0010-0000-1300-000003000000}" name="Специалност" dataDxfId="530" totalsRowDxfId="529"/>
    <tableColumn id="4" xr3:uid="{00000000-0010-0000-1300-000004000000}" name="Факултет" dataDxfId="528" totalsRowDxfId="527"/>
    <tableColumn id="5" xr3:uid="{00000000-0010-0000-1300-000005000000}" name="Вид" dataDxfId="526" totalsRowDxfId="525"/>
    <tableColumn id="6" xr3:uid="{00000000-0010-0000-1300-000006000000}" name="Курс" dataDxfId="524" totalsRowDxfId="523"/>
    <tableColumn id="7" xr3:uid="{00000000-0010-0000-1300-000007000000}" name="ФормаОб" dataDxfId="522" totalsRowDxfId="521"/>
    <tableColumn id="8" xr3:uid="{00000000-0010-0000-1300-000008000000}" name="ПОТОК" dataDxfId="520" totalsRowDxfId="519"/>
    <tableColumn id="9" xr3:uid="{00000000-0010-0000-1300-000009000000}" name="ГРУПА" dataDxfId="518" totalsRowDxfId="517"/>
    <tableColumn id="10" xr3:uid="{00000000-0010-0000-1300-00000A000000}" name="Семестър" totalsRowFunction="count" dataDxfId="516" totalsRowDxfId="515"/>
  </tableColumns>
  <tableStyleInfo name="TS_Total_Row 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4000000}" name="Table29" displayName="Table29" ref="B145:AD145" headerRowCount="0" totalsRowShown="0" headerRowDxfId="514" dataDxfId="513">
  <tableColumns count="29">
    <tableColumn id="1" xr3:uid="{00000000-0010-0000-1400-000001000000}" name="HR3" headerRowDxfId="512" dataDxfId="511"/>
    <tableColumn id="2" xr3:uid="{00000000-0010-0000-1400-000002000000}" name="Column2" headerRowDxfId="510" dataDxfId="509"/>
    <tableColumn id="3" xr3:uid="{00000000-0010-0000-1400-000003000000}" name="Column3" headerRowDxfId="508" dataDxfId="507"/>
    <tableColumn id="4" xr3:uid="{00000000-0010-0000-1400-000004000000}" name="Column4" headerRowDxfId="506" dataDxfId="505"/>
    <tableColumn id="5" xr3:uid="{00000000-0010-0000-1400-000005000000}" name="Column5" headerRowDxfId="504" dataDxfId="503"/>
    <tableColumn id="6" xr3:uid="{00000000-0010-0000-1400-000006000000}" name="Column6" headerRowDxfId="502" dataDxfId="501"/>
    <tableColumn id="7" xr3:uid="{00000000-0010-0000-1400-000007000000}" name="Column7" headerRowDxfId="500" dataDxfId="499"/>
    <tableColumn id="8" xr3:uid="{00000000-0010-0000-1400-000008000000}" name="Column8" headerRowDxfId="498" dataDxfId="497"/>
    <tableColumn id="9" xr3:uid="{00000000-0010-0000-1400-000009000000}" name="Column9" headerRowDxfId="496" dataDxfId="495"/>
    <tableColumn id="10" xr3:uid="{00000000-0010-0000-1400-00000A000000}" name="Column10" headerRowDxfId="494" dataDxfId="493"/>
    <tableColumn id="11" xr3:uid="{00000000-0010-0000-1400-00000B000000}" name="Column11" headerRowDxfId="492" dataDxfId="491"/>
    <tableColumn id="12" xr3:uid="{00000000-0010-0000-1400-00000C000000}" name="Column12" headerRowDxfId="490" dataDxfId="489"/>
    <tableColumn id="13" xr3:uid="{00000000-0010-0000-1400-00000D000000}" name="Column13" headerRowDxfId="488" dataDxfId="487"/>
    <tableColumn id="14" xr3:uid="{00000000-0010-0000-1400-00000E000000}" name="Column14" headerRowDxfId="486" dataDxfId="485"/>
    <tableColumn id="15" xr3:uid="{00000000-0010-0000-1400-00000F000000}" name="Column15" headerRowDxfId="484" dataDxfId="483"/>
    <tableColumn id="16" xr3:uid="{00000000-0010-0000-1400-000010000000}" name="Column16" headerRowDxfId="482" dataDxfId="481"/>
    <tableColumn id="17" xr3:uid="{00000000-0010-0000-1400-000011000000}" name="Column17" headerRowDxfId="480" dataDxfId="479"/>
    <tableColumn id="18" xr3:uid="{00000000-0010-0000-1400-000012000000}" name="Column18" headerRowDxfId="478" dataDxfId="477"/>
    <tableColumn id="19" xr3:uid="{00000000-0010-0000-1400-000013000000}" name="Column19" headerRowDxfId="476" dataDxfId="475"/>
    <tableColumn id="20" xr3:uid="{00000000-0010-0000-1400-000014000000}" name="Column20" headerRowDxfId="474" dataDxfId="473"/>
    <tableColumn id="21" xr3:uid="{00000000-0010-0000-1400-000015000000}" name="Column21" headerRowDxfId="472" dataDxfId="471"/>
    <tableColumn id="22" xr3:uid="{00000000-0010-0000-1400-000016000000}" name="Column22" headerRowDxfId="470" dataDxfId="469"/>
    <tableColumn id="23" xr3:uid="{00000000-0010-0000-1400-000017000000}" name="Column23" headerRowDxfId="468" dataDxfId="467"/>
    <tableColumn id="24" xr3:uid="{00000000-0010-0000-1400-000018000000}" name="Column24" headerRowDxfId="466" dataDxfId="465"/>
    <tableColumn id="25" xr3:uid="{00000000-0010-0000-1400-000019000000}" name="Column25" headerRowDxfId="464" dataDxfId="463"/>
    <tableColumn id="26" xr3:uid="{00000000-0010-0000-1400-00001A000000}" name="Column26" headerRowDxfId="462" dataDxfId="461"/>
    <tableColumn id="27" xr3:uid="{00000000-0010-0000-1400-00001B000000}" name="Column27" headerRowDxfId="460" dataDxfId="459"/>
    <tableColumn id="28" xr3:uid="{00000000-0010-0000-1400-00001C000000}" name="Column28" headerRowDxfId="458" dataDxfId="457"/>
    <tableColumn id="29" xr3:uid="{00000000-0010-0000-1400-00001D000000}" name="Column29" headerRowDxfId="456" dataDxfId="455"/>
  </tableColumns>
  <tableStyleInfo name="TS_Total_Row" showFirstColumn="0" showLastColumn="0" showRowStripes="0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5000000}" name="MAZZS" displayName="MAZZS" ref="C30:AB49" headerRowDxfId="436" dataDxfId="434" totalsRowDxfId="433" headerRowBorderDxfId="435">
  <tableColumns count="26">
    <tableColumn id="27" xr3:uid="{00000000-0010-0000-1500-00001B000000}" name="пВид" dataDxfId="432" totalsRowDxfId="431">
      <calculatedColumnFormula>IFERROR(AND(MAZZS[[#This Row],[Дисциплина]]&lt;&gt;0,MAZZS[[#This Row],[Вид]]&lt;&gt;"З",MAZZS[[#This Row],[Вид]]&lt;&gt;"И",MAZZS[[#This Row],[Вид]]&lt;&gt;"Ф")*1,0)</calculatedColumnFormula>
    </tableColumn>
    <tableColumn id="28" xr3:uid="{00000000-0010-0000-1500-00001C000000}" name="пСтуденти" dataDxfId="430" totalsRowDxfId="429">
      <calculatedColumnFormula>AND(MAZZS[[#This Row],[Дисциплина]]&lt;&gt;0,OR(N(MAZZS[[#This Row],[Лекции]])&lt;&gt;0,N(MAZZS[[#This Row],[Упражнения]])&lt;&gt;0),N(MAZZS[[#This Row],[Студенти]])=0)*1</calculatedColumnFormula>
    </tableColumn>
    <tableColumn id="29" xr3:uid="{00000000-0010-0000-1500-00001D000000}" name="пИзпитани" dataDxfId="428" totalsRowDxfId="427">
      <calculatedColumnFormula>AND(N(MAZZS[[#This Row],[Изпитани]])&lt;&gt;0,MAZZS[[#This Row],[Изпитващ]]=0)*1</calculatedColumnFormula>
    </tableColumn>
    <tableColumn id="30" xr3:uid="{00000000-0010-0000-1500-00001E000000}" name="кЕзик" dataDxfId="426" totalsRowDxfId="425">
      <calculatedColumnFormula>IFERROR(VLOOKUP(MAZZS[[#This Row],[Език]],Коефициент_Eзик[],2,0),0)</calculatedColumnFormula>
    </tableColumn>
    <tableColumn id="31" xr3:uid="{00000000-0010-0000-1500-00001F000000}" name="кСтудент" dataDxfId="424" totalsRowDxfId="423">
      <calculatedColumnFormula>IFERROR(IF(MAZZS[[#This Row],[Студенти]]&gt;=6,1,VLOOKUP(MAZZS[[#This Row],[Студенти]],RdukciaChasove[],2,0)),0)</calculatedColumnFormula>
    </tableColumn>
    <tableColumn id="32" xr3:uid="{00000000-0010-0000-1500-000020000000}" name="кИзпитващ" dataDxfId="422" totalsRowDxfId="421">
      <calculatedColumnFormula>IFERROR(IF(MAZZS[[#This Row],[Изпитващ]]=0,0,IF(AND('1. Планд'!$B$6=list!$A$11,MAZZS[[#This Row],[ФормаОц]]=list!$A$66),Coef!$B$8,VLOOKUP(MAZZS[[#This Row],[Изпитващ]],Koef.ocenqvane[],2,0))),0)</calculatedColumnFormula>
    </tableColumn>
    <tableColumn id="33" xr3:uid="{00000000-0010-0000-1500-000021000000}" name="кTO" dataDxfId="420" totalsRowDxfId="419">
      <calculatedColumnFormula>IFERROR(VLOOKUP(MAZZS[[#This Row],[ФормаОб]],T_кТО[],2,0),0)</calculatedColumnFormula>
    </tableColumn>
    <tableColumn id="34" xr3:uid="{00000000-0010-0000-1500-000022000000}" name="чTO" totalsRowFunction="sum" dataDxfId="418" totalsRowDxfId="417">
      <calculatedColumnFormula>N(MAZZS[[#This Row],[ТО]])*0.5</calculatedColumnFormula>
    </tableColumn>
    <tableColumn id="35" xr3:uid="{00000000-0010-0000-1500-000023000000}" name="чИзпитани" totalsRowFunction="sum" dataDxfId="416" totalsRowDxfId="415">
      <calculatedColumnFormula>N(MAZZS[[#This Row],[Изпитани]])*MAZZS[[#This Row],[кИзпитващ]]</calculatedColumnFormula>
    </tableColumn>
    <tableColumn id="36" xr3:uid="{00000000-0010-0000-1500-000024000000}" name="чЛекции" dataDxfId="414" totalsRowDxfId="413">
      <calculatedColumnFormula>N(MAZZS[[#This Row],[Лекции]])*MAZZS[[#This Row],[кЕзик]]*MAZZS[[#This Row],[кСтудент]]*кЛекции</calculatedColumnFormula>
    </tableColumn>
    <tableColumn id="37" xr3:uid="{00000000-0010-0000-1500-000025000000}" name="чУпражнения" dataDxfId="412" totalsRowDxfId="411">
      <calculatedColumnFormula>N(MAZZS[[#This Row],[Упражнения]])*MAZZS[[#This Row],[кЕзик]]*MAZZS[[#This Row],[кСтудент]]*кУпражнение</calculatedColumnFormula>
    </tableColumn>
    <tableColumn id="1" xr3:uid="{00000000-0010-0000-1500-000001000000}" name="Дисциплина" dataDxfId="410" totalsRowDxfId="409"/>
    <tableColumn id="2" xr3:uid="{00000000-0010-0000-1500-000002000000}" name="Магистърска програма" dataDxfId="408" totalsRowDxfId="407"/>
    <tableColumn id="3" xr3:uid="{00000000-0010-0000-1500-000003000000}" name="Факултет" dataDxfId="406" totalsRowDxfId="405"/>
    <tableColumn id="4" xr3:uid="{00000000-0010-0000-1500-000004000000}" name="Вид" dataDxfId="404" totalsRowDxfId="403"/>
    <tableColumn id="5" xr3:uid="{00000000-0010-0000-1500-000005000000}" name="Курс" dataDxfId="402" totalsRowDxfId="401"/>
    <tableColumn id="6" xr3:uid="{00000000-0010-0000-1500-000006000000}" name="ФормаОб" dataDxfId="400" totalsRowDxfId="399"/>
    <tableColumn id="7" xr3:uid="{00000000-0010-0000-1500-000007000000}" name="Студенти" dataDxfId="398" totalsRowDxfId="397"/>
    <tableColumn id="8" xr3:uid="{00000000-0010-0000-1500-000008000000}" name="Лекции" dataDxfId="396" totalsRowDxfId="395"/>
    <tableColumn id="9" xr3:uid="{00000000-0010-0000-1500-000009000000}" name="Упражнения" dataDxfId="394" totalsRowDxfId="393"/>
    <tableColumn id="10" xr3:uid="{00000000-0010-0000-1500-00000A000000}" name="Език" dataDxfId="392" totalsRowDxfId="391"/>
    <tableColumn id="11" xr3:uid="{00000000-0010-0000-1500-00000B000000}" name="ФормаОц" dataDxfId="390" totalsRowDxfId="389"/>
    <tableColumn id="12" xr3:uid="{00000000-0010-0000-1500-00000C000000}" name="Изпитващ" dataDxfId="388" totalsRowDxfId="387"/>
    <tableColumn id="13" xr3:uid="{00000000-0010-0000-1500-00000D000000}" name="Изпитани" dataDxfId="386" totalsRowDxfId="385"/>
    <tableColumn id="22" xr3:uid="{00000000-0010-0000-1500-000016000000}" name="ТО" dataDxfId="384" totalsRowDxfId="383"/>
    <tableColumn id="23" xr3:uid="{00000000-0010-0000-1500-000017000000}" name="КР" totalsRowFunction="sum" dataDxfId="382" totalsRowDxfId="381"/>
  </tableColumns>
  <tableStyleInfo name="TS_Total_Row 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6000000}" name="MAZLS" displayName="MAZLS" ref="C79:AB98" headerRowDxfId="380" dataDxfId="378" totalsRowDxfId="377" headerRowBorderDxfId="379">
  <autoFilter ref="C79:AB98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27" xr3:uid="{00000000-0010-0000-1600-00001B000000}" name="пВид" dataDxfId="376" totalsRowDxfId="375">
      <calculatedColumnFormula array="1">AND(LEN(MAZLS[[#This Row],[Дисциплина]]&amp;MAZLS[[#This Row],[Магистърска програма]]&amp;MAZLS[[#This Row],[Факултет]])&gt;0,MAZLS[[#This Row],[Вид]]&lt;&gt;{"З";"И";"Ф"})*1</calculatedColumnFormula>
    </tableColumn>
    <tableColumn id="28" xr3:uid="{00000000-0010-0000-1600-00001C000000}" name="пСтуденти" dataDxfId="374" totalsRowDxfId="373">
      <calculatedColumnFormula>AND(MAZLS[[#This Row],[Дисциплина]]&lt;&gt;0,OR(MAZLS[[#This Row],[Лекции]]&lt;&gt;0,MAZLS[[#This Row],[Упражнения]]&lt;&gt;0),MAZLS[[#This Row],[Студенти]]=0)*1</calculatedColumnFormula>
    </tableColumn>
    <tableColumn id="29" xr3:uid="{00000000-0010-0000-1600-00001D000000}" name="пИзпитани" dataDxfId="372" totalsRowDxfId="371">
      <calculatedColumnFormula>AND(MAZLS[[#This Row],[Изпитани]]&lt;&gt;0,MAZLS[[#This Row],[Изпитващ]]=0)*1</calculatedColumnFormula>
    </tableColumn>
    <tableColumn id="30" xr3:uid="{00000000-0010-0000-1600-00001E000000}" name="кЕзик" dataDxfId="370" totalsRowDxfId="369">
      <calculatedColumnFormula>IFERROR(VLOOKUP(MAZLS[[#This Row],[Език]],Коефициент_Eзик[],2,0),0)</calculatedColumnFormula>
    </tableColumn>
    <tableColumn id="31" xr3:uid="{00000000-0010-0000-1600-00001F000000}" name="кСтудент" dataDxfId="368" totalsRowDxfId="367">
      <calculatedColumnFormula>IFERROR(IF(MAZLS[[#This Row],[Студенти]]&gt;=6,1,VLOOKUP(MAZLS[[#This Row],[Студенти]],RdukciaChasove[],2,0)),0)</calculatedColumnFormula>
    </tableColumn>
    <tableColumn id="32" xr3:uid="{00000000-0010-0000-1600-000020000000}" name="кИзпитващ" dataDxfId="366" totalsRowDxfId="365">
      <calculatedColumnFormula>IFERROR(IF(MAZLS[[#This Row],[Изпитващ]]=0,0,IF(AND('1. Планд'!$B$6=list!$A$11,MAZLS[[#This Row],[ФормаОц]]=list!$A$66),Coef!$B$8,VLOOKUP(MAZLS[[#This Row],[Изпитващ]],Koef.ocenqvane[],2,0))),0)</calculatedColumnFormula>
    </tableColumn>
    <tableColumn id="33" xr3:uid="{00000000-0010-0000-1600-000021000000}" name="кTO" dataDxfId="364" totalsRowDxfId="363"/>
    <tableColumn id="34" xr3:uid="{00000000-0010-0000-1600-000022000000}" name="чTO" dataDxfId="362" totalsRowDxfId="361">
      <calculatedColumnFormula>N(MAZLS[[#This Row],[ТО]])*MAZLS[[#This Row],[кTO]]</calculatedColumnFormula>
    </tableColumn>
    <tableColumn id="35" xr3:uid="{00000000-0010-0000-1600-000023000000}" name="чИзпитани" dataDxfId="360" totalsRowDxfId="359">
      <calculatedColumnFormula>MAZLS[[#This Row],[Изпитани]]*MAZLS[[#This Row],[кИзпитващ]]</calculatedColumnFormula>
    </tableColumn>
    <tableColumn id="36" xr3:uid="{00000000-0010-0000-1600-000024000000}" name="чЛекции" dataDxfId="358" totalsRowDxfId="357">
      <calculatedColumnFormula>MAZLS[[#This Row],[Лекции]]*MAZLS[[#This Row],[кЕзик]]*MAZLS[[#This Row],[кСтудент]]*кЛекции</calculatedColumnFormula>
    </tableColumn>
    <tableColumn id="37" xr3:uid="{00000000-0010-0000-1600-000025000000}" name="чУпражнения" dataDxfId="356" totalsRowDxfId="355">
      <calculatedColumnFormula>MAZLS[[#This Row],[Упражнения]]*MAZLS[[#This Row],[кЕзик]]*MAZLS[[#This Row],[кСтудент]]*кУпражнение</calculatedColumnFormula>
    </tableColumn>
    <tableColumn id="1" xr3:uid="{00000000-0010-0000-1600-000001000000}" name="Дисциплина" dataDxfId="354" totalsRowDxfId="353"/>
    <tableColumn id="2" xr3:uid="{00000000-0010-0000-1600-000002000000}" name="Магистърска програма" dataDxfId="352" totalsRowDxfId="351"/>
    <tableColumn id="3" xr3:uid="{00000000-0010-0000-1600-000003000000}" name="Факултет" dataDxfId="350" totalsRowDxfId="349"/>
    <tableColumn id="4" xr3:uid="{00000000-0010-0000-1600-000004000000}" name="Вид" dataDxfId="348" totalsRowDxfId="347"/>
    <tableColumn id="5" xr3:uid="{00000000-0010-0000-1600-000005000000}" name="Курс" dataDxfId="346" totalsRowDxfId="345"/>
    <tableColumn id="6" xr3:uid="{00000000-0010-0000-1600-000006000000}" name="ФормаОб" dataDxfId="344" totalsRowDxfId="343"/>
    <tableColumn id="7" xr3:uid="{00000000-0010-0000-1600-000007000000}" name="Студенти" dataDxfId="342" totalsRowDxfId="341"/>
    <tableColumn id="8" xr3:uid="{00000000-0010-0000-1600-000008000000}" name="Лекции" dataDxfId="340" totalsRowDxfId="339"/>
    <tableColumn id="9" xr3:uid="{00000000-0010-0000-1600-000009000000}" name="Упражнения" dataDxfId="338" totalsRowDxfId="337"/>
    <tableColumn id="10" xr3:uid="{00000000-0010-0000-1600-00000A000000}" name="Език" dataDxfId="336" totalsRowDxfId="335"/>
    <tableColumn id="11" xr3:uid="{00000000-0010-0000-1600-00000B000000}" name="ФормаОц" dataDxfId="334" totalsRowDxfId="333"/>
    <tableColumn id="12" xr3:uid="{00000000-0010-0000-1600-00000C000000}" name="Изпитващ" dataDxfId="332" totalsRowDxfId="331"/>
    <tableColumn id="13" xr3:uid="{00000000-0010-0000-1600-00000D000000}" name="Изпитани" dataDxfId="330" totalsRowDxfId="329"/>
    <tableColumn id="22" xr3:uid="{00000000-0010-0000-1600-000016000000}" name="ТО" dataDxfId="328" totalsRowDxfId="327"/>
    <tableColumn id="23" xr3:uid="{00000000-0010-0000-1600-000017000000}" name="КР" totalsRowFunction="sum" dataDxfId="326" totalsRowDxfId="325"/>
  </tableColumns>
  <tableStyleInfo name="TS_Total_Row 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7000000}" name="MPZS" displayName="MPZS" ref="D55:AB65" headerRowDxfId="324" dataDxfId="322" totalsRowDxfId="320" headerRowBorderDxfId="323" tableBorderDxfId="321" totalsRowBorderDxfId="319">
  <tableColumns count="25">
    <tableColumn id="22" xr3:uid="{2A955664-BB04-495F-894D-06DFAF0151D6}" name="пВидПрактика" dataDxfId="318" totalsRowDxfId="317">
      <calculatedColumnFormula>IFERROR(MATCH(MPZS[[#This Row],[ВидПрактика]],T_Практики[Практика и курсова работа],0),0)</calculatedColumnFormula>
    </tableColumn>
    <tableColumn id="23" xr3:uid="{286C6C18-D6EA-4E4D-95FB-E64C48C07943}" name="уфГрупа" dataDxfId="316" totalsRowDxfId="315">
      <calculatedColumnFormula>IF(MPZS[[#This Row],[пВидПрактика]],INDEX(T_Практики[Група],MPZS[[#This Row],[пВидПрактика]]),"-")</calculatedColumnFormula>
    </tableColumn>
    <tableColumn id="24" xr3:uid="{AF9172A5-8649-4A62-9E13-2B1991A0BF4C}" name="уфДен" dataDxfId="314" totalsRowDxfId="313">
      <calculatedColumnFormula>IF(MPZS[[#This Row],[пВидПрактика]],INDEX(T_Практики[Ден],MPZS[[#This Row],[пВидПрактика]])*2,"-")</calculatedColumnFormula>
    </tableColumn>
    <tableColumn id="18" xr3:uid="{00000000-0010-0000-1700-000012000000}" name="пФорма" dataDxfId="312" totalsRowDxfId="311">
      <calculatedColumnFormula>IFERROR(AND(MPZS[[#This Row],[ТО]]&lt;&gt;0,MPZS[[#This Row],[ФормаОб]]=0)*1,0)</calculatedColumnFormula>
    </tableColumn>
    <tableColumn id="14" xr3:uid="{00000000-0010-0000-1700-00000E000000}" name="пИзпитани" dataDxfId="310" totalsRowDxfId="309">
      <calculatedColumnFormula>IFERROR(AND(MPZS[[#This Row],[Изпитани]]&lt;&gt;0,MPZS[[#This Row],[Изпитващ]]=0)*1,0)</calculatedColumnFormula>
    </tableColumn>
    <tableColumn id="13" xr3:uid="{00000000-0010-0000-1700-00000D000000}" name="кИзпитващ" dataDxfId="308" totalsRowDxfId="307">
      <calculatedColumnFormula>IFERROR(IF(MPZS[[#This Row],[Изпитващ]]=0,0,IF(AND('1. Планд'!$B$6=list!$A$11,MPZS[[#This Row],[ФормаОц]]=list!$A$66),Coef!$B$8,VLOOKUP(MPZS[[#This Row],[Изпитващ]],Koef.ocenqvane[],2,0))),0)</calculatedColumnFormula>
    </tableColumn>
    <tableColumn id="17" xr3:uid="{00000000-0010-0000-1700-000011000000}" name="кTO" dataDxfId="306" totalsRowDxfId="305">
      <calculatedColumnFormula>кТО</calculatedColumnFormula>
    </tableColumn>
    <tableColumn id="25" xr3:uid="{828201CA-3FE5-4C51-B5C7-A7BE466771AF}" name="чПрактика" dataDxfId="304" totalsRowDxfId="303">
      <calculatedColumnFormula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calculatedColumnFormula>
    </tableColumn>
    <tableColumn id="16" xr3:uid="{00000000-0010-0000-1700-000010000000}" name="чИзпитани" totalsRowFunction="sum" dataDxfId="302">
      <calculatedColumnFormula>N(MPZS[[#This Row],[Изпитани]])*MPZS[[#This Row],[кИзпитващ]]</calculatedColumnFormula>
    </tableColumn>
    <tableColumn id="15" xr3:uid="{00000000-0010-0000-1700-00000F000000}" name="чTO" totalsRowFunction="sum" dataDxfId="301">
      <calculatedColumnFormula>N(MPZS[[#This Row],[ТО]])*MPZS[[#This Row],[кTO]]</calculatedColumnFormula>
    </tableColumn>
    <tableColumn id="1" xr3:uid="{00000000-0010-0000-1700-000001000000}" name="Наименование на практика/курсова работа" dataDxfId="300" totalsRowDxfId="299"/>
    <tableColumn id="2" xr3:uid="{00000000-0010-0000-1700-000002000000}" name="Магистърска програма" dataDxfId="298" totalsRowDxfId="297"/>
    <tableColumn id="3" xr3:uid="{00000000-0010-0000-1700-000003000000}" name="Факултет" dataDxfId="296" totalsRowDxfId="295"/>
    <tableColumn id="4" xr3:uid="{00000000-0010-0000-1700-000004000000}" name="Вид" dataDxfId="294" totalsRowDxfId="293"/>
    <tableColumn id="5" xr3:uid="{00000000-0010-0000-1700-000005000000}" name="Курс" dataDxfId="292" totalsRowDxfId="291"/>
    <tableColumn id="6" xr3:uid="{00000000-0010-0000-1700-000006000000}" name="ФормаОб" dataDxfId="290" totalsRowDxfId="289"/>
    <tableColumn id="7" xr3:uid="{00000000-0010-0000-1700-000007000000}" name="Студенти" dataDxfId="288" totalsRowDxfId="287"/>
    <tableColumn id="19" xr3:uid="{FD9011AE-74EE-40A8-B45D-DD1605733ABA}" name="ВидПрактика" dataDxfId="286" totalsRowDxfId="285"/>
    <tableColumn id="20" xr3:uid="{17B9494F-1252-4FC9-AD17-8862D38F1372}" name="Група" dataDxfId="284" totalsRowDxfId="283"/>
    <tableColumn id="21" xr3:uid="{0516F93F-04AC-4B6B-AA3C-BE180148848C}" name="Ден" dataDxfId="282" totalsRowDxfId="281"/>
    <tableColumn id="8" xr3:uid="{00000000-0010-0000-1700-000008000000}" name="ФормаОц" dataDxfId="280" totalsRowDxfId="279"/>
    <tableColumn id="9" xr3:uid="{00000000-0010-0000-1700-000009000000}" name="Изпитващ" dataDxfId="278" totalsRowDxfId="277"/>
    <tableColumn id="10" xr3:uid="{00000000-0010-0000-1700-00000A000000}" name="Изпитани" dataDxfId="276" totalsRowDxfId="275"/>
    <tableColumn id="11" xr3:uid="{00000000-0010-0000-1700-00000B000000}" name="ТО" totalsRowFunction="sum" dataDxfId="274" totalsRowDxfId="273"/>
    <tableColumn id="12" xr3:uid="{00000000-0010-0000-1700-00000C000000}" name="КР" totalsRowFunction="sum" dataDxfId="272" totalsRowDxfId="271"/>
  </tableColumns>
  <tableStyleInfo name="TS_Total_Row 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8000000}" name="MDiplomiraneZS" displayName="MDiplomiraneZS" ref="N70:R73" headerRowDxfId="270" dataDxfId="269" totalsRowDxfId="268" totalsRowBorderDxfId="267">
  <tableColumns count="5">
    <tableColumn id="1" xr3:uid="{00000000-0010-0000-1800-000001000000}" name="Специалност" dataDxfId="266" totalsRowDxfId="265"/>
    <tableColumn id="2" xr3:uid="{00000000-0010-0000-1800-000002000000}" name="Факултет" dataDxfId="264" totalsRowDxfId="263"/>
    <tableColumn id="3" xr3:uid="{00000000-0010-0000-1800-000003000000}" name="ДР" totalsRowFunction="sum" dataDxfId="262" totalsRowDxfId="261"/>
    <tableColumn id="4" xr3:uid="{00000000-0010-0000-1800-000004000000}" name="Рецензии" totalsRowFunction="sum" dataDxfId="260" totalsRowDxfId="259"/>
    <tableColumn id="5" xr3:uid="{00000000-0010-0000-1800-000005000000}" name="И/ДИ/З" totalsRowFunction="sum" dataDxfId="258" totalsRowDxfId="257"/>
  </tableColumns>
  <tableStyleInfo name="TS_Total_Row 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9000000}" name="MPLS" displayName="MPLS" ref="D104:AB114" headerRowDxfId="256" dataDxfId="255" totalsRowDxfId="254" totalsRowBorderDxfId="253">
  <tableColumns count="25">
    <tableColumn id="22" xr3:uid="{045056E8-5688-4000-9963-6382C0B6EDA0}" name="пВидПрактика" dataDxfId="252" totalsRowDxfId="251">
      <calculatedColumnFormula>IFERROR(MATCH(MPLS[[#This Row],[ВидПрактика]],T_Практики[Практика и курсова работа],0),0)</calculatedColumnFormula>
    </tableColumn>
    <tableColumn id="23" xr3:uid="{53AD89E4-3FBA-4292-BD2D-793F15E05A98}" name="уфГрупа" dataDxfId="250" totalsRowDxfId="249">
      <calculatedColumnFormula>IF(MPLS[[#This Row],[пВидПрактика]],INDEX(T_Практики[Група],MPLS[[#This Row],[пВидПрактика]]),"-")</calculatedColumnFormula>
    </tableColumn>
    <tableColumn id="24" xr3:uid="{D3DF5E0F-AFB7-45E5-AD84-21F335CBA479}" name="уфДен" dataDxfId="248" totalsRowDxfId="247">
      <calculatedColumnFormula>IF(MPLS[[#This Row],[пВидПрактика]],INDEX(T_Практики[Ден],MPLS[[#This Row],[пВидПрактика]])*2,"-")</calculatedColumnFormula>
    </tableColumn>
    <tableColumn id="18" xr3:uid="{00000000-0010-0000-1900-000012000000}" name="пФорма" dataDxfId="246" totalsRowDxfId="245">
      <calculatedColumnFormula>AND(MPLS[[#This Row],[ТО]]&lt;&gt;0,MPLS[[#This Row],[ФормаОб]]=0)*1</calculatedColumnFormula>
    </tableColumn>
    <tableColumn id="14" xr3:uid="{00000000-0010-0000-1900-00000E000000}" name="пИзпитани" dataDxfId="244" totalsRowDxfId="243">
      <calculatedColumnFormula>AND(MPLS[[#This Row],[Изпитани]]&lt;&gt;0,MPLS[[#This Row],[Изпитващ]]=0)*1</calculatedColumnFormula>
    </tableColumn>
    <tableColumn id="13" xr3:uid="{00000000-0010-0000-1900-00000D000000}" name="кИзпитващ" dataDxfId="242" totalsRowDxfId="241">
      <calculatedColumnFormula>IFERROR(IF(MPLS[[#This Row],[Изпитващ]]=0,0,IF(AND('1. Планд'!$B$6=list!$A$11,MPLS[[#This Row],[ФормаОц]]=list!$A$66),Coef!$B$8,VLOOKUP(MPLS[[#This Row],[Изпитващ]],Koef.ocenqvane[],2,0))),0)</calculatedColumnFormula>
    </tableColumn>
    <tableColumn id="17" xr3:uid="{00000000-0010-0000-1900-000011000000}" name="кTO" dataDxfId="240" totalsRowDxfId="239"/>
    <tableColumn id="15" xr3:uid="{00000000-0010-0000-1900-00000F000000}" name="чПрактика" totalsRowFunction="sum" dataDxfId="238" totalsRowDxfId="237">
      <calculatedColumnFormula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calculatedColumnFormula>
    </tableColumn>
    <tableColumn id="16" xr3:uid="{00000000-0010-0000-1900-000010000000}" name="чИзпитани" totalsRowFunction="sum" dataDxfId="236" totalsRowDxfId="235">
      <calculatedColumnFormula>MPLS[[#This Row],[Изпитани]]*MPLS[[#This Row],[кИзпитващ]]</calculatedColumnFormula>
    </tableColumn>
    <tableColumn id="25" xr3:uid="{8ADC578F-65F7-40A7-9FE1-0145F3383FEB}" name="чTO" dataDxfId="234" totalsRowDxfId="233">
      <calculatedColumnFormula>N(MPLS[[#This Row],[ТО]])*MPLS[[#This Row],[кTO]]</calculatedColumnFormula>
    </tableColumn>
    <tableColumn id="1" xr3:uid="{00000000-0010-0000-1900-000001000000}" name="Наименование на практика/курсова работа" dataDxfId="232" totalsRowDxfId="231"/>
    <tableColumn id="2" xr3:uid="{00000000-0010-0000-1900-000002000000}" name="Магистърска програма" dataDxfId="230" totalsRowDxfId="229"/>
    <tableColumn id="3" xr3:uid="{00000000-0010-0000-1900-000003000000}" name="Факултет" dataDxfId="228" totalsRowDxfId="227"/>
    <tableColumn id="4" xr3:uid="{00000000-0010-0000-1900-000004000000}" name="Вид" dataDxfId="226" totalsRowDxfId="225"/>
    <tableColumn id="5" xr3:uid="{00000000-0010-0000-1900-000005000000}" name="Курс" dataDxfId="224" totalsRowDxfId="223"/>
    <tableColumn id="6" xr3:uid="{00000000-0010-0000-1900-000006000000}" name="ФормаОб" dataDxfId="222" totalsRowDxfId="221"/>
    <tableColumn id="7" xr3:uid="{00000000-0010-0000-1900-000007000000}" name="Студенти" dataDxfId="220" totalsRowDxfId="219"/>
    <tableColumn id="19" xr3:uid="{EEC6BF78-0DCA-41B3-810F-959203EEF722}" name="ВидПрактика" dataDxfId="218" totalsRowDxfId="217"/>
    <tableColumn id="20" xr3:uid="{5349DB7F-FCBB-42AD-9E79-50C88D5FC3EE}" name="Група" dataDxfId="216" totalsRowDxfId="215"/>
    <tableColumn id="21" xr3:uid="{7EB14B15-2B45-4437-90F4-76B4F2D0E06A}" name="Ден" dataDxfId="214" totalsRowDxfId="213"/>
    <tableColumn id="8" xr3:uid="{00000000-0010-0000-1900-000008000000}" name="ФормаОц" dataDxfId="212" totalsRowDxfId="211"/>
    <tableColumn id="9" xr3:uid="{00000000-0010-0000-1900-000009000000}" name="Изпитващ" dataDxfId="210" totalsRowDxfId="209"/>
    <tableColumn id="10" xr3:uid="{00000000-0010-0000-1900-00000A000000}" name="Изпитани" dataDxfId="208" totalsRowDxfId="207"/>
    <tableColumn id="11" xr3:uid="{00000000-0010-0000-1900-00000B000000}" name="ТО" totalsRowFunction="sum" dataDxfId="206" totalsRowDxfId="205"/>
    <tableColumn id="12" xr3:uid="{00000000-0010-0000-1900-00000C000000}" name="КР" totalsRowFunction="sum" dataDxfId="204" totalsRowDxfId="203"/>
  </tableColumns>
  <tableStyleInfo name="TS_Total_Row 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A000000}" name="MDiplomiraneLS" displayName="MDiplomiraneLS" ref="N119:R122" headerRowDxfId="202" dataDxfId="201" totalsRowDxfId="200" totalsRowBorderDxfId="199">
  <tableColumns count="5">
    <tableColumn id="1" xr3:uid="{00000000-0010-0000-1A00-000001000000}" name="Специалност" dataDxfId="198" totalsRowDxfId="197"/>
    <tableColumn id="2" xr3:uid="{00000000-0010-0000-1A00-000002000000}" name="Факултет" dataDxfId="196" totalsRowDxfId="195"/>
    <tableColumn id="3" xr3:uid="{00000000-0010-0000-1A00-000003000000}" name="ДР" totalsRowFunction="sum" dataDxfId="194" totalsRowDxfId="193"/>
    <tableColumn id="4" xr3:uid="{00000000-0010-0000-1A00-000004000000}" name="Рецензии" totalsRowFunction="sum" dataDxfId="192" totalsRowDxfId="191"/>
    <tableColumn id="5" xr3:uid="{00000000-0010-0000-1A00-000005000000}" name="И/ДИ/З" totalsRowFunction="sum" dataDxfId="190" totalsRowDxfId="189"/>
  </tableColumns>
  <tableStyleInfo name="TS_Total_Row 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B000000}" name="PotokM" displayName="PotokM" ref="N128:W141" headerRowDxfId="188" dataDxfId="187" totalsRowDxfId="186">
  <tableColumns count="10">
    <tableColumn id="1" xr3:uid="{00000000-0010-0000-1B00-000001000000}" name="Дисциплина" dataDxfId="185" totalsRowDxfId="184"/>
    <tableColumn id="2" xr3:uid="{00000000-0010-0000-1B00-000002000000}" name="Програма" dataDxfId="183" totalsRowDxfId="182"/>
    <tableColumn id="3" xr3:uid="{00000000-0010-0000-1B00-000003000000}" name="Специалност" dataDxfId="181" totalsRowDxfId="180"/>
    <tableColumn id="4" xr3:uid="{00000000-0010-0000-1B00-000004000000}" name="Факултет" dataDxfId="179" totalsRowDxfId="178"/>
    <tableColumn id="5" xr3:uid="{00000000-0010-0000-1B00-000005000000}" name="Вид" dataDxfId="177" totalsRowDxfId="176"/>
    <tableColumn id="6" xr3:uid="{00000000-0010-0000-1B00-000006000000}" name="Курс" dataDxfId="175" totalsRowDxfId="174"/>
    <tableColumn id="7" xr3:uid="{00000000-0010-0000-1B00-000007000000}" name="ФормаОб" dataDxfId="173" totalsRowDxfId="172"/>
    <tableColumn id="8" xr3:uid="{00000000-0010-0000-1B00-000008000000}" name="ПОТОК" dataDxfId="171" totalsRowDxfId="170"/>
    <tableColumn id="9" xr3:uid="{00000000-0010-0000-1B00-000009000000}" name="ГРУПА" dataDxfId="169" totalsRowDxfId="168"/>
    <tableColumn id="10" xr3:uid="{00000000-0010-0000-1B00-00000A000000}" name="Семестър" totalsRowFunction="count" dataDxfId="167" totalsRowDxfId="166"/>
  </tableColumns>
  <tableStyleInfo name="TS_Total_Row 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le30" displayName="Table30" ref="B145:AD145" headerRowCount="0" totalsRowShown="0" headerRowDxfId="165" dataDxfId="164">
  <tableColumns count="29">
    <tableColumn id="1" xr3:uid="{00000000-0010-0000-1C00-000001000000}" name="HR3" headerRowDxfId="163" dataDxfId="162"/>
    <tableColumn id="2" xr3:uid="{00000000-0010-0000-1C00-000002000000}" name="Column2" headerRowDxfId="161" dataDxfId="160"/>
    <tableColumn id="3" xr3:uid="{00000000-0010-0000-1C00-000003000000}" name="Column3" headerRowDxfId="159" dataDxfId="158"/>
    <tableColumn id="4" xr3:uid="{00000000-0010-0000-1C00-000004000000}" name="Column4" headerRowDxfId="157" dataDxfId="156"/>
    <tableColumn id="5" xr3:uid="{00000000-0010-0000-1C00-000005000000}" name="Column5" headerRowDxfId="155" dataDxfId="154"/>
    <tableColumn id="6" xr3:uid="{00000000-0010-0000-1C00-000006000000}" name="Column6" headerRowDxfId="153" dataDxfId="152"/>
    <tableColumn id="7" xr3:uid="{00000000-0010-0000-1C00-000007000000}" name="Column7" headerRowDxfId="151" dataDxfId="150"/>
    <tableColumn id="8" xr3:uid="{00000000-0010-0000-1C00-000008000000}" name="Column8" headerRowDxfId="149" dataDxfId="148"/>
    <tableColumn id="9" xr3:uid="{00000000-0010-0000-1C00-000009000000}" name="Column9" headerRowDxfId="147" dataDxfId="146"/>
    <tableColumn id="10" xr3:uid="{00000000-0010-0000-1C00-00000A000000}" name="Column10" headerRowDxfId="145" dataDxfId="144"/>
    <tableColumn id="11" xr3:uid="{00000000-0010-0000-1C00-00000B000000}" name="Column11" headerRowDxfId="143" dataDxfId="142"/>
    <tableColumn id="12" xr3:uid="{00000000-0010-0000-1C00-00000C000000}" name="Column12" headerRowDxfId="141" dataDxfId="140"/>
    <tableColumn id="13" xr3:uid="{00000000-0010-0000-1C00-00000D000000}" name="Column13" headerRowDxfId="139" dataDxfId="138"/>
    <tableColumn id="14" xr3:uid="{00000000-0010-0000-1C00-00000E000000}" name="Column14" headerRowDxfId="137" dataDxfId="136"/>
    <tableColumn id="15" xr3:uid="{00000000-0010-0000-1C00-00000F000000}" name="Column15" headerRowDxfId="135" dataDxfId="134"/>
    <tableColumn id="16" xr3:uid="{00000000-0010-0000-1C00-000010000000}" name="Column16" headerRowDxfId="133" dataDxfId="132"/>
    <tableColumn id="17" xr3:uid="{00000000-0010-0000-1C00-000011000000}" name="Column17" headerRowDxfId="131" dataDxfId="130"/>
    <tableColumn id="18" xr3:uid="{00000000-0010-0000-1C00-000012000000}" name="Column18" headerRowDxfId="129" dataDxfId="128"/>
    <tableColumn id="19" xr3:uid="{00000000-0010-0000-1C00-000013000000}" name="Column19" headerRowDxfId="127" dataDxfId="126"/>
    <tableColumn id="20" xr3:uid="{00000000-0010-0000-1C00-000014000000}" name="Column20" headerRowDxfId="125" dataDxfId="124"/>
    <tableColumn id="21" xr3:uid="{00000000-0010-0000-1C00-000015000000}" name="Column21" headerRowDxfId="123" dataDxfId="122"/>
    <tableColumn id="22" xr3:uid="{00000000-0010-0000-1C00-000016000000}" name="Column22" headerRowDxfId="121" dataDxfId="120"/>
    <tableColumn id="23" xr3:uid="{00000000-0010-0000-1C00-000017000000}" name="Column23" headerRowDxfId="119" dataDxfId="118"/>
    <tableColumn id="24" xr3:uid="{00000000-0010-0000-1C00-000018000000}" name="Column24" headerRowDxfId="117" dataDxfId="116"/>
    <tableColumn id="25" xr3:uid="{00000000-0010-0000-1C00-000019000000}" name="Column25" headerRowDxfId="115" dataDxfId="114"/>
    <tableColumn id="26" xr3:uid="{00000000-0010-0000-1C00-00001A000000}" name="Column26" headerRowDxfId="113" dataDxfId="112"/>
    <tableColumn id="27" xr3:uid="{00000000-0010-0000-1C00-00001B000000}" name="Column27" headerRowDxfId="111" dataDxfId="110"/>
    <tableColumn id="28" xr3:uid="{00000000-0010-0000-1C00-00001C000000}" name="Column28" headerRowDxfId="109" dataDxfId="108"/>
    <tableColumn id="29" xr3:uid="{00000000-0010-0000-1C00-00001D000000}" name="Column29" headerRowDxfId="107" dataDxfId="106"/>
  </tableColumns>
  <tableStyleInfo name="TS_Total_Row" showFirstColumn="0" showLastColumn="0" showRowStripes="0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DrAZ" displayName="DrAZ" ref="B25:V31" headerRowDxfId="96" dataDxfId="95" totalsRowDxfId="94" totalsRowBorderDxfId="93">
  <tableColumns count="21">
    <tableColumn id="1" xr3:uid="{00000000-0010-0000-1D00-000001000000}" name="Докторански курс" dataDxfId="92" totalsRowDxfId="91"/>
    <tableColumn id="2" xr3:uid="{00000000-0010-0000-1D00-000002000000}" name="Докторантска програма" dataDxfId="90" totalsRowDxfId="89"/>
    <tableColumn id="3" xr3:uid="{00000000-0010-0000-1D00-000003000000}" name="Професионално направление" dataDxfId="88" totalsRowDxfId="87"/>
    <tableColumn id="14" xr3:uid="{00000000-0010-0000-1D00-00000E000000}" name="Език" dataDxfId="86" totalsRowDxfId="85"/>
    <tableColumn id="4" xr3:uid="{00000000-0010-0000-1D00-000004000000}" name="Докторанти" dataDxfId="84" totalsRowDxfId="83"/>
    <tableColumn id="5" xr3:uid="{00000000-0010-0000-1D00-000005000000}" name="Лекции" dataDxfId="82" totalsRowDxfId="81"/>
    <tableColumn id="6" xr3:uid="{00000000-0010-0000-1D00-000006000000}" name="Упражнения" dataDxfId="80" totalsRowDxfId="79"/>
    <tableColumn id="7" xr3:uid="{00000000-0010-0000-1D00-000007000000}" name="Изпитани" totalsRowFunction="sum" dataDxfId="78" totalsRowDxfId="77"/>
    <tableColumn id="13" xr3:uid="{00000000-0010-0000-1D00-00000D000000}" name="Семестър" dataDxfId="76" totalsRowDxfId="75"/>
    <tableColumn id="8" xr3:uid="{00000000-0010-0000-1D00-000008000000}" name="пПразни" dataDxfId="74" totalsRowDxfId="73">
      <calculatedColumnFormula>((9-COUNTBLANK(DrAZ[[#This Row],[Докторански курс]:[Семестър]]))&gt;1)*1</calculatedColumnFormula>
    </tableColumn>
    <tableColumn id="19" xr3:uid="{02F40BE3-2490-4DDF-B3EB-E3E4EADD65E5}" name="пДисциплина" dataDxfId="72" totalsRowDxfId="71">
      <calculatedColumnFormula>DrAZ[[#This Row],[пПразни]]*(3-COUNTBLANK(DrAZ[[#This Row],[Докторански курс]:[Професионално направление]])&lt;=3)</calculatedColumnFormula>
    </tableColumn>
    <tableColumn id="15" xr3:uid="{1DD74806-02D8-42CB-AB1B-A0651EE78FAD}" name="пДокторанти" dataDxfId="70" totalsRowDxfId="69">
      <calculatedColumnFormula>DrAZ[[#This Row],[пПразни]]*(N(DrAZ[[#This Row],[Докторанти]])=0)</calculatedColumnFormula>
    </tableColumn>
    <tableColumn id="20" xr3:uid="{E13BB92B-B7CE-41DA-86EC-C7B4F1C320BD}" name="пЛ_У" dataDxfId="68" totalsRowDxfId="67">
      <calculatedColumnFormula>DrAZ[[#This Row],[пПразни]]*(SUM(DrAZ[[#This Row],[Лекции]:[Упражнения]])=0)</calculatedColumnFormula>
    </tableColumn>
    <tableColumn id="18" xr3:uid="{99983412-EFFE-4C10-9BFB-D09B1E252137}" name="пИзпитани" dataDxfId="66" totalsRowDxfId="65">
      <calculatedColumnFormula>DrAZ[[#This Row],[пПразни]]*(N(DrAZ[[#This Row],[Изпитани]])=0)</calculatedColumnFormula>
    </tableColumn>
    <tableColumn id="17" xr3:uid="{AB565360-5F88-4C71-82E3-A63EC072484C}" name="пСеместър" dataDxfId="64" totalsRowDxfId="63">
      <calculatedColumnFormula>DrAZ[[#This Row],[пПразни]]*(LEN(DrAZ[[#This Row],[Семестър]])=0)</calculatedColumnFormula>
    </tableColumn>
    <tableColumn id="16" xr3:uid="{00000000-0010-0000-1D00-000010000000}" name="кСеместър" dataDxfId="62" totalsRowDxfId="61">
      <calculatedColumnFormula>IF(DrAZ[[#This Row],[пПразни]],DrAZ[[#This Row],[Семестър]]&amp;"|"&amp;DrAZ[[#This Row],[Език]],"")</calculatedColumnFormula>
    </tableColumn>
    <tableColumn id="9" xr3:uid="{00000000-0010-0000-1D00-000009000000}" name="кРедукция" dataDxfId="60" totalsRowDxfId="59">
      <calculatedColumnFormula>IF(DrAZ[[#This Row],[Докторанти]]&gt;=3,1,IFERROR(VLOOKUP(DrAZ[[#This Row],[Докторанти]],RedukciaDr[],2,0),0))</calculatedColumnFormula>
    </tableColumn>
    <tableColumn id="10" xr3:uid="{00000000-0010-0000-1D00-00000A000000}" name="кЕзик" dataDxfId="58" totalsRowDxfId="57">
      <calculatedColumnFormula>IF(DrAZ[[#This Row],[Език]]="чужд",1.5,1)</calculatedColumnFormula>
    </tableColumn>
    <tableColumn id="11" xr3:uid="{00000000-0010-0000-1D00-00000B000000}" name="чЛекции" totalsRowFunction="sum" dataDxfId="56" totalsRowDxfId="55">
      <calculatedColumnFormula>DrAZ[[#This Row],[Лекции]]*DrAZ[[#This Row],[кРедукция]]*DrAZ[[#This Row],[кЕзик]]*кЛекции</calculatedColumnFormula>
    </tableColumn>
    <tableColumn id="12" xr3:uid="{00000000-0010-0000-1D00-00000C000000}" name="чУпражнения" totalsRowFunction="sum" dataDxfId="54" totalsRowDxfId="53">
      <calculatedColumnFormula>DrAZ[[#This Row],[Упражнения]]*DrAZ[[#This Row],[кРедукция]]*DrAZ[[#This Row],[кЕзик]]*кУпражнение</calculatedColumnFormula>
    </tableColumn>
    <tableColumn id="21" xr3:uid="{99688330-619A-47D0-9BCC-448918618DFE}" name="чИзпитани" dataDxfId="52" totalsRowDxfId="51">
      <calculatedColumnFormula>DrAZ[[#This Row],[Изпитани]]*кИзпитаниДок</calculatedColumnFormula>
    </tableColumn>
  </tableColumns>
  <tableStyleInfo name="TS_Total_Row 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E000000}" name="T2_Доктор_КИ_НР" displayName="T2_Доктор_КИ_НР" ref="B35:D39" headerRowDxfId="50" dataDxfId="48" totalsRowDxfId="46" headerRowBorderDxfId="49" tableBorderDxfId="47" totalsRowBorderDxfId="45">
  <tableColumns count="3">
    <tableColumn id="1" xr3:uid="{00000000-0010-0000-1E00-000001000000}" name="Дейност" totalsRowLabel="Total" dataDxfId="44"/>
    <tableColumn id="2" xr3:uid="{00000000-0010-0000-1E00-000002000000}" name="Допълнително пояснение" totalsRowFunction="count" dataDxfId="43" totalsRowDxfId="42"/>
    <tableColumn id="3" xr3:uid="{00000000-0010-0000-1E00-000003000000}" name="Брой кандДок" dataDxfId="41"/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0B97FC3-5ADB-45C5-9B76-1A982A2EDAF6}" name="T_КИ_НР" displayName="T_КИ_НР" ref="N35:Q39" totalsRowShown="0" headerRowDxfId="40" dataDxfId="38" headerRowBorderDxfId="39" tableBorderDxfId="37">
  <autoFilter ref="N35:Q39" xr:uid="{91B043E9-FDCA-494D-A16A-FDC49E3E380D}">
    <filterColumn colId="0" hiddenButton="1"/>
    <filterColumn colId="1" hiddenButton="1"/>
    <filterColumn colId="2" hiddenButton="1"/>
    <filterColumn colId="3" hiddenButton="1"/>
  </autoFilter>
  <tableColumns count="4">
    <tableColumn id="1" xr3:uid="{1B9BA6E2-815B-4CDC-9B02-C554003ECE4B}" name="A" dataDxfId="36"/>
    <tableColumn id="4" xr3:uid="{A8B8D246-327F-4E6E-A133-1507F5CA02D7}" name="кДейност" dataDxfId="35"/>
    <tableColumn id="2" xr3:uid="{244E8AA8-458B-4866-8952-F02357BB5FF1}" name="чУпр" dataDxfId="34">
      <calculatedColumnFormula>T2_Доктор_КИ_НР[[#This Row],[Брой кандДок]]*T_КИ_НР[[#This Row],[Коефициент]]</calculatedColumnFormula>
    </tableColumn>
    <tableColumn id="3" xr3:uid="{23D485C9-F204-4F9D-9963-711C9006E318}" name="Коефициент" dataDxfId="33">
      <calculatedColumnFormula>Coef!B21</calculatedColumnFormula>
    </tableColumn>
  </tableColumns>
  <tableStyleInfo name="TS_Total_Row 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F000000}" name="Подготовка_курс" displayName="Подготовка_курс" ref="B26:X37" headerRowDxfId="25" dataDxfId="24" totalsRowBorderDxfId="23">
  <tableColumns count="23">
    <tableColumn id="1" xr3:uid="{00000000-0010-0000-1F00-000001000000}" name="Дейност" totalsRowLabel="Total" dataDxfId="22"/>
    <tableColumn id="2" xr3:uid="{00000000-0010-0000-1F00-000002000000}" name="Екип" dataDxfId="21"/>
    <tableColumn id="3" xr3:uid="{00000000-0010-0000-1F00-000003000000}" name="Дисциплина/Наименование на курс" dataDxfId="20"/>
    <tableColumn id="4" xr3:uid="{00000000-0010-0000-1F00-000004000000}" name="ОКС" dataDxfId="19"/>
    <tableColumn id="5" xr3:uid="{00000000-0010-0000-1F00-000005000000}" name="Специалност/Магистърска програма" dataDxfId="18"/>
    <tableColumn id="6" xr3:uid="{00000000-0010-0000-1F00-000006000000}" name="Факултет" dataDxfId="17"/>
    <tableColumn id="7" xr3:uid="{00000000-0010-0000-1F00-000007000000}" name="Вид" dataDxfId="16"/>
    <tableColumn id="8" xr3:uid="{00000000-0010-0000-1F00-000008000000}" name="ФормаОб" dataDxfId="15"/>
    <tableColumn id="9" xr3:uid="{00000000-0010-0000-1F00-000009000000}" name="Език" dataDxfId="14"/>
    <tableColumn id="11" xr3:uid="{00000000-0010-0000-1F00-00000B000000}" name="Лекции" dataDxfId="13"/>
    <tableColumn id="12" xr3:uid="{00000000-0010-0000-1F00-00000C000000}" name="Упражнения" dataDxfId="12"/>
    <tableColumn id="10" xr3:uid="{00000000-0010-0000-1F00-00000A000000}" name="Семестър" dataDxfId="11"/>
    <tableColumn id="13" xr3:uid="{00000000-0010-0000-1F00-00000D000000}" name="пДейност" dataDxfId="10">
      <calculatedColumnFormula>Подготовка_курс[[#This Row],[пПразни]]*(LEN(Подготовка_курс[[#This Row],[Дейност]])=0)</calculatedColumnFormula>
    </tableColumn>
    <tableColumn id="26" xr3:uid="{00000000-0010-0000-1F00-00001A000000}" name="пЕкип" dataDxfId="9">
      <calculatedColumnFormula>Подготовка_курс[[#This Row],[пПразни]]*(LEN(Подготовка_курс[[#This Row],[Екип]])=0)</calculatedColumnFormula>
    </tableColumn>
    <tableColumn id="14" xr3:uid="{00000000-0010-0000-1F00-00000E000000}" name="пОКС" dataDxfId="8">
      <calculatedColumnFormula>Подготовка_курс[[#This Row],[пПразни]]*(LEN(Подготовка_курс[[#This Row],[ОКС]])=0)</calculatedColumnFormula>
    </tableColumn>
    <tableColumn id="15" xr3:uid="{00000000-0010-0000-1F00-00000F000000}" name="пФормаОб" dataDxfId="7">
      <calculatedColumnFormula>Подготовка_курс[[#This Row],[пПразни]]*(LEN(Подготовка_курс[[#This Row],[ФормаОб]])=0)</calculatedColumnFormula>
    </tableColumn>
    <tableColumn id="27" xr3:uid="{E42AF34C-18C0-44F2-855C-7A62D1DF7D42}" name="пСеместър" dataDxfId="6">
      <calculatedColumnFormula>Подготовка_курс[[#This Row],[пПразни]]*(LEN(Подготовка_курс[[#This Row],[Семестър]])=0)</calculatedColumnFormula>
    </tableColumn>
    <tableColumn id="40" xr3:uid="{0A5E1F08-7944-459B-B06E-E5C1E318919E}" name="пЛ_У" dataDxfId="5">
      <calculatedColumnFormula>Подготовка_курс[[#This Row],[пПразни]]*(SUM(Подготовка_курс[[#This Row],[Лекции]:[Упражнения]])=0)</calculatedColumnFormula>
    </tableColumn>
    <tableColumn id="38" xr3:uid="{AA210C27-EC80-4397-8625-321F45E8B7B9}" name="пПразни" dataDxfId="4">
      <calculatedColumnFormula>((12-COUNTBLANK(Подготовка_курс[[#This Row],[Дейност]:[Семестър]]))&gt;1)*1</calculatedColumnFormula>
    </tableColumn>
    <tableColumn id="31" xr3:uid="{859E2041-6286-4435-A196-F551E4B7939D}" name="кДейност" dataDxfId="3">
      <calculatedColumnFormula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calculatedColumnFormula>
    </tableColumn>
    <tableColumn id="34" xr3:uid="{16E0D3A2-1034-4687-B5AD-13A986A440E3}" name="кЧасове" dataDxfId="2">
      <calculatedColumnFormula>IFERROR(SUM(Подготовка_курс[[#This Row],[Лекции]:[Упражнения]])*Подготовка_курс[[#This Row],[кДейност]]/Подготовка_курс[[#This Row],[Екип]],0)</calculatedColumnFormula>
    </tableColumn>
    <tableColumn id="35" xr3:uid="{CD06E6F6-7F42-4FC8-A282-749A2F7997D3}" name="Бакалавър" dataDxfId="1">
      <calculatedColumnFormula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calculatedColumnFormula>
    </tableColumn>
    <tableColumn id="36" xr3:uid="{5A15F475-B6FC-46E7-B32B-EADADB7A7C0E}" name="Магистър" dataDxfId="0">
      <calculatedColumnFormula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calculatedColumnFormula>
    </tableColumn>
  </tableColumns>
  <tableStyleInfo name="TS_Total_Row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4" Type="http://schemas.openxmlformats.org/officeDocument/2006/relationships/table" Target="../tables/table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table" Target="../tables/table2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9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2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7.xml"/><Relationship Id="rId3" Type="http://schemas.openxmlformats.org/officeDocument/2006/relationships/drawing" Target="../drawings/drawing5.xml"/><Relationship Id="rId7" Type="http://schemas.openxmlformats.org/officeDocument/2006/relationships/table" Target="../tables/table26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25.xml"/><Relationship Id="rId11" Type="http://schemas.openxmlformats.org/officeDocument/2006/relationships/table" Target="../tables/table30.xml"/><Relationship Id="rId5" Type="http://schemas.openxmlformats.org/officeDocument/2006/relationships/table" Target="../tables/table24.xml"/><Relationship Id="rId10" Type="http://schemas.openxmlformats.org/officeDocument/2006/relationships/table" Target="../tables/table29.xml"/><Relationship Id="rId4" Type="http://schemas.openxmlformats.org/officeDocument/2006/relationships/table" Target="../tables/table23.xml"/><Relationship Id="rId9" Type="http://schemas.openxmlformats.org/officeDocument/2006/relationships/table" Target="../tables/table2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5.xml"/><Relationship Id="rId3" Type="http://schemas.openxmlformats.org/officeDocument/2006/relationships/drawing" Target="../drawings/drawing6.xml"/><Relationship Id="rId7" Type="http://schemas.openxmlformats.org/officeDocument/2006/relationships/table" Target="../tables/table3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pio@uni-sofia.bg?subject=&#1042;&#1098;&#1087;&#1088;&#1086;&#1089;%20-%20&#1087;&#1086;&#1087;&#1098;&#1083;&#1074;&#1072;&#1085;&#1077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33.xml"/><Relationship Id="rId11" Type="http://schemas.openxmlformats.org/officeDocument/2006/relationships/table" Target="../tables/table38.xml"/><Relationship Id="rId5" Type="http://schemas.openxmlformats.org/officeDocument/2006/relationships/table" Target="../tables/table32.xml"/><Relationship Id="rId10" Type="http://schemas.openxmlformats.org/officeDocument/2006/relationships/table" Target="../tables/table37.xml"/><Relationship Id="rId4" Type="http://schemas.openxmlformats.org/officeDocument/2006/relationships/table" Target="../tables/table31.xml"/><Relationship Id="rId9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pio@uni-sofia.bg?subject=&#1042;&#1098;&#1087;&#1088;&#1086;&#1089;%20-%20&#1087;&#1086;&#1087;&#1098;&#1083;&#1074;&#1072;&#1085;&#1077;%20&#1085;&#1072;%20&#1077;&#1083;&#1077;&#1082;&#1090;&#1088;&#1086;&#1085;&#1077;&#1085;%20&#1092;&#1086;&#1088;&#1084;&#1091;&#1083;&#1103;&#1088;" TargetMode="External"/><Relationship Id="rId6" Type="http://schemas.openxmlformats.org/officeDocument/2006/relationships/table" Target="../tables/table41.xml"/><Relationship Id="rId5" Type="http://schemas.openxmlformats.org/officeDocument/2006/relationships/table" Target="../tables/table40.xml"/><Relationship Id="rId4" Type="http://schemas.openxmlformats.org/officeDocument/2006/relationships/table" Target="../tables/table3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ipio@uni-sofia.bg?subject=&#1042;&#1098;&#1087;&#1088;&#1086;&#1089;%20-%20&#1087;&#1086;&#1087;&#1098;&#1083;&#1074;&#1072;&#1085;&#1077;%20&#1085;&#1072;%20&#1077;&#1083;&#1077;&#1082;&#1090;&#1088;&#1086;&#1085;&#1077;&#1085;%20&#1092;&#1086;&#1088;&#1084;&#1091;&#1083;&#1103;&#1088;" TargetMode="External"/><Relationship Id="rId4" Type="http://schemas.openxmlformats.org/officeDocument/2006/relationships/table" Target="../tables/table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</sheetPr>
  <dimension ref="A1:CH139"/>
  <sheetViews>
    <sheetView zoomScale="70" zoomScaleNormal="70" workbookViewId="0">
      <selection activeCell="N9" sqref="N9"/>
    </sheetView>
  </sheetViews>
  <sheetFormatPr defaultRowHeight="15" x14ac:dyDescent="0.25"/>
  <cols>
    <col min="1" max="1" width="64.42578125" bestFit="1" customWidth="1"/>
    <col min="2" max="2" width="9.5703125" customWidth="1"/>
    <col min="3" max="3" width="11.7109375" customWidth="1"/>
    <col min="10" max="10" width="10" customWidth="1"/>
    <col min="11" max="11" width="3.140625" bestFit="1" customWidth="1"/>
    <col min="12" max="12" width="18" customWidth="1"/>
    <col min="13" max="13" width="18.28515625" bestFit="1" customWidth="1"/>
    <col min="14" max="14" width="92.85546875" bestFit="1" customWidth="1"/>
    <col min="17" max="17" width="18.42578125" bestFit="1" customWidth="1"/>
    <col min="18" max="18" width="13.85546875" bestFit="1" customWidth="1"/>
    <col min="19" max="20" width="11.28515625" bestFit="1" customWidth="1"/>
    <col min="21" max="21" width="19.85546875" bestFit="1" customWidth="1"/>
    <col min="22" max="22" width="18.42578125" bestFit="1" customWidth="1"/>
    <col min="23" max="23" width="18.28515625" bestFit="1" customWidth="1"/>
    <col min="24" max="24" width="15.7109375" customWidth="1"/>
    <col min="25" max="25" width="13.42578125" customWidth="1"/>
    <col min="26" max="26" width="17" bestFit="1" customWidth="1"/>
    <col min="27" max="27" width="18" bestFit="1" customWidth="1"/>
    <col min="28" max="28" width="13.42578125" bestFit="1" customWidth="1"/>
    <col min="29" max="29" width="12.42578125" bestFit="1" customWidth="1"/>
    <col min="30" max="30" width="16.7109375" bestFit="1" customWidth="1"/>
    <col min="31" max="31" width="14.28515625" bestFit="1" customWidth="1"/>
    <col min="32" max="32" width="24.42578125" bestFit="1" customWidth="1"/>
    <col min="33" max="33" width="24.7109375" bestFit="1" customWidth="1"/>
    <col min="34" max="34" width="12.5703125" bestFit="1" customWidth="1"/>
    <col min="35" max="35" width="20" bestFit="1" customWidth="1"/>
    <col min="36" max="36" width="18.5703125" bestFit="1" customWidth="1"/>
    <col min="37" max="37" width="15.140625" bestFit="1" customWidth="1"/>
    <col min="38" max="38" width="13.42578125" bestFit="1" customWidth="1"/>
    <col min="39" max="39" width="15.5703125" bestFit="1" customWidth="1"/>
    <col min="40" max="40" width="14.42578125" bestFit="1" customWidth="1"/>
    <col min="41" max="41" width="11.28515625" bestFit="1" customWidth="1"/>
    <col min="42" max="42" width="11.7109375" bestFit="1" customWidth="1"/>
    <col min="43" max="43" width="51.140625" bestFit="1" customWidth="1"/>
    <col min="44" max="44" width="92.85546875" bestFit="1" customWidth="1"/>
    <col min="47" max="47" width="9.28515625" bestFit="1" customWidth="1"/>
    <col min="48" max="49" width="9.42578125" bestFit="1" customWidth="1"/>
    <col min="50" max="50" width="9.5703125" bestFit="1" customWidth="1"/>
    <col min="51" max="51" width="17.42578125" bestFit="1" customWidth="1"/>
    <col min="52" max="52" width="25.7109375" bestFit="1" customWidth="1"/>
    <col min="53" max="53" width="17.5703125" bestFit="1" customWidth="1"/>
    <col min="54" max="54" width="31.5703125" bestFit="1" customWidth="1"/>
    <col min="56" max="56" width="5.5703125" bestFit="1" customWidth="1"/>
    <col min="57" max="57" width="20" customWidth="1"/>
    <col min="58" max="58" width="24.28515625" customWidth="1"/>
    <col min="59" max="59" width="18.28515625" bestFit="1" customWidth="1"/>
    <col min="60" max="60" width="17" bestFit="1" customWidth="1"/>
    <col min="61" max="61" width="17.7109375" bestFit="1" customWidth="1"/>
    <col min="62" max="62" width="17.7109375" customWidth="1"/>
    <col min="63" max="63" width="17.28515625" customWidth="1"/>
    <col min="64" max="64" width="14.7109375" bestFit="1" customWidth="1"/>
    <col min="65" max="65" width="15.7109375" bestFit="1" customWidth="1"/>
    <col min="66" max="66" width="11" bestFit="1" customWidth="1"/>
    <col min="67" max="67" width="24.7109375" bestFit="1" customWidth="1"/>
    <col min="68" max="68" width="10.85546875" bestFit="1" customWidth="1"/>
    <col min="69" max="69" width="17" bestFit="1" customWidth="1"/>
    <col min="70" max="70" width="16" bestFit="1" customWidth="1"/>
    <col min="71" max="71" width="24.42578125" bestFit="1" customWidth="1"/>
    <col min="72" max="72" width="31.7109375" customWidth="1"/>
    <col min="73" max="73" width="9.85546875" bestFit="1" customWidth="1"/>
    <col min="74" max="74" width="10" bestFit="1" customWidth="1"/>
    <col min="75" max="75" width="7.85546875" bestFit="1" customWidth="1"/>
    <col min="76" max="76" width="37" customWidth="1"/>
    <col min="82" max="86" width="9.140625" style="807"/>
  </cols>
  <sheetData>
    <row r="1" spans="1:86" ht="15.75" thickBot="1" x14ac:dyDescent="0.3">
      <c r="A1" s="13" t="s">
        <v>18</v>
      </c>
      <c r="B1" s="804" t="s">
        <v>23</v>
      </c>
      <c r="C1" s="14" t="s">
        <v>24</v>
      </c>
      <c r="K1" t="s">
        <v>580</v>
      </c>
      <c r="L1" s="556" t="s">
        <v>811</v>
      </c>
      <c r="M1" s="557" t="s">
        <v>635</v>
      </c>
      <c r="N1" s="558" t="s">
        <v>633</v>
      </c>
    </row>
    <row r="2" spans="1:86" ht="15" customHeight="1" thickBot="1" x14ac:dyDescent="0.3">
      <c r="A2" s="6" t="s">
        <v>36</v>
      </c>
      <c r="B2" s="7">
        <v>1</v>
      </c>
      <c r="C2" s="803" t="s">
        <v>753</v>
      </c>
      <c r="J2" s="1048" t="s">
        <v>812</v>
      </c>
      <c r="K2" s="918">
        <v>1</v>
      </c>
      <c r="L2" s="924" t="s">
        <v>813</v>
      </c>
      <c r="M2" s="925" t="s">
        <v>659</v>
      </c>
      <c r="N2" s="926" t="str">
        <f>Учебна_година</f>
        <v>2020/2021</v>
      </c>
      <c r="Q2" s="531">
        <v>1</v>
      </c>
      <c r="R2" s="531">
        <f t="shared" ref="R2:BB2" si="0">Q2+1</f>
        <v>2</v>
      </c>
      <c r="S2" s="531">
        <f t="shared" si="0"/>
        <v>3</v>
      </c>
      <c r="T2" s="531">
        <f t="shared" si="0"/>
        <v>4</v>
      </c>
      <c r="U2" s="531">
        <f t="shared" si="0"/>
        <v>5</v>
      </c>
      <c r="V2" s="531">
        <f t="shared" si="0"/>
        <v>6</v>
      </c>
      <c r="W2" s="531">
        <f t="shared" si="0"/>
        <v>7</v>
      </c>
      <c r="X2" s="531">
        <f t="shared" si="0"/>
        <v>8</v>
      </c>
      <c r="Y2" s="531">
        <f t="shared" si="0"/>
        <v>9</v>
      </c>
      <c r="Z2" s="531">
        <f t="shared" si="0"/>
        <v>10</v>
      </c>
      <c r="AA2" s="531">
        <f t="shared" si="0"/>
        <v>11</v>
      </c>
      <c r="AB2" s="531">
        <f t="shared" si="0"/>
        <v>12</v>
      </c>
      <c r="AC2" s="531">
        <f t="shared" si="0"/>
        <v>13</v>
      </c>
      <c r="AD2" s="531">
        <f t="shared" si="0"/>
        <v>14</v>
      </c>
      <c r="AE2" s="531">
        <f t="shared" si="0"/>
        <v>15</v>
      </c>
      <c r="AF2" s="531">
        <f t="shared" si="0"/>
        <v>16</v>
      </c>
      <c r="AG2" s="531">
        <f t="shared" si="0"/>
        <v>17</v>
      </c>
      <c r="AH2" s="531">
        <f t="shared" si="0"/>
        <v>18</v>
      </c>
      <c r="AI2" s="531">
        <f t="shared" si="0"/>
        <v>19</v>
      </c>
      <c r="AJ2" s="531">
        <f t="shared" si="0"/>
        <v>20</v>
      </c>
      <c r="AK2" s="531">
        <f t="shared" si="0"/>
        <v>21</v>
      </c>
      <c r="AL2" s="531">
        <f t="shared" si="0"/>
        <v>22</v>
      </c>
      <c r="AM2" s="531">
        <f t="shared" si="0"/>
        <v>23</v>
      </c>
      <c r="AN2" s="531">
        <f t="shared" si="0"/>
        <v>24</v>
      </c>
      <c r="AO2" s="531">
        <f t="shared" si="0"/>
        <v>25</v>
      </c>
      <c r="AP2" s="531">
        <f t="shared" si="0"/>
        <v>26</v>
      </c>
      <c r="AQ2" s="531">
        <f t="shared" si="0"/>
        <v>27</v>
      </c>
      <c r="AR2" s="531">
        <f t="shared" si="0"/>
        <v>28</v>
      </c>
      <c r="AS2" s="531">
        <f t="shared" si="0"/>
        <v>29</v>
      </c>
      <c r="AT2" s="531">
        <f t="shared" si="0"/>
        <v>30</v>
      </c>
      <c r="AU2" s="531">
        <f t="shared" si="0"/>
        <v>31</v>
      </c>
      <c r="AV2" s="531">
        <f t="shared" si="0"/>
        <v>32</v>
      </c>
      <c r="AW2" s="531">
        <f t="shared" si="0"/>
        <v>33</v>
      </c>
      <c r="AX2" s="531">
        <f t="shared" si="0"/>
        <v>34</v>
      </c>
      <c r="AY2" s="531">
        <f t="shared" si="0"/>
        <v>35</v>
      </c>
      <c r="AZ2" s="531">
        <f t="shared" si="0"/>
        <v>36</v>
      </c>
      <c r="BA2" s="531">
        <f t="shared" si="0"/>
        <v>37</v>
      </c>
      <c r="BB2" s="531">
        <f t="shared" si="0"/>
        <v>38</v>
      </c>
    </row>
    <row r="3" spans="1:86" ht="15" customHeight="1" thickBot="1" x14ac:dyDescent="0.4">
      <c r="A3" s="6" t="s">
        <v>30</v>
      </c>
      <c r="B3" s="7">
        <v>2</v>
      </c>
      <c r="C3" s="662" t="s">
        <v>31</v>
      </c>
      <c r="J3" s="1046"/>
      <c r="K3" s="919">
        <f t="shared" ref="K3:K39" si="1">K2+1</f>
        <v>2</v>
      </c>
      <c r="L3" s="927" t="s">
        <v>814</v>
      </c>
      <c r="M3" s="928" t="s">
        <v>659</v>
      </c>
      <c r="N3" s="929" t="str">
        <f>Семестър</f>
        <v>Летен</v>
      </c>
      <c r="Q3" t="s">
        <v>813</v>
      </c>
      <c r="R3" t="s">
        <v>814</v>
      </c>
      <c r="S3" t="s">
        <v>815</v>
      </c>
      <c r="T3" t="s">
        <v>816</v>
      </c>
      <c r="U3" t="s">
        <v>817</v>
      </c>
      <c r="V3" t="s">
        <v>818</v>
      </c>
      <c r="W3" t="s">
        <v>819</v>
      </c>
      <c r="X3" t="s">
        <v>820</v>
      </c>
      <c r="Y3" t="s">
        <v>904</v>
      </c>
      <c r="Z3" t="s">
        <v>905</v>
      </c>
      <c r="AA3" t="s">
        <v>906</v>
      </c>
      <c r="AB3" t="s">
        <v>821</v>
      </c>
      <c r="AC3" t="s">
        <v>822</v>
      </c>
      <c r="AD3" t="s">
        <v>823</v>
      </c>
      <c r="AE3" t="s">
        <v>824</v>
      </c>
      <c r="AF3" t="s">
        <v>825</v>
      </c>
      <c r="AG3" t="s">
        <v>826</v>
      </c>
      <c r="AH3" t="s">
        <v>827</v>
      </c>
      <c r="AI3" t="s">
        <v>828</v>
      </c>
      <c r="AJ3" t="s">
        <v>829</v>
      </c>
      <c r="AK3" t="s">
        <v>830</v>
      </c>
      <c r="AL3" t="s">
        <v>831</v>
      </c>
      <c r="AM3" t="s">
        <v>832</v>
      </c>
      <c r="AN3" t="s">
        <v>833</v>
      </c>
      <c r="AO3" t="s">
        <v>834</v>
      </c>
      <c r="AP3" t="s">
        <v>835</v>
      </c>
      <c r="AQ3" t="s">
        <v>836</v>
      </c>
      <c r="AR3" t="s">
        <v>837</v>
      </c>
      <c r="AS3" t="s">
        <v>838</v>
      </c>
      <c r="AT3" t="s">
        <v>839</v>
      </c>
      <c r="AU3" t="s">
        <v>841</v>
      </c>
      <c r="AV3" t="s">
        <v>842</v>
      </c>
      <c r="AW3" t="s">
        <v>843</v>
      </c>
      <c r="AX3" t="s">
        <v>844</v>
      </c>
      <c r="AY3" t="s">
        <v>845</v>
      </c>
      <c r="AZ3" t="s">
        <v>846</v>
      </c>
      <c r="BA3" t="s">
        <v>847</v>
      </c>
      <c r="BB3" t="s">
        <v>848</v>
      </c>
      <c r="BD3" s="1038" t="s">
        <v>849</v>
      </c>
      <c r="BE3" s="1039"/>
      <c r="BF3" s="1039"/>
      <c r="BG3" s="1039"/>
      <c r="BH3" s="1039"/>
      <c r="BI3" s="1039"/>
      <c r="BJ3" s="1039"/>
      <c r="BK3" s="1039"/>
      <c r="BL3" s="1039"/>
      <c r="BM3" s="1040"/>
      <c r="BN3" s="1044" t="s">
        <v>850</v>
      </c>
      <c r="BO3" s="1038" t="s">
        <v>851</v>
      </c>
      <c r="BP3" s="1039"/>
      <c r="BQ3" s="1039"/>
      <c r="BR3" s="1039"/>
      <c r="BS3" s="1039"/>
      <c r="BT3" s="1040"/>
      <c r="BU3" s="1038" t="s">
        <v>852</v>
      </c>
      <c r="BV3" s="1039"/>
      <c r="BW3" s="1039"/>
      <c r="BX3" s="1049" t="s">
        <v>853</v>
      </c>
      <c r="BY3" s="1050"/>
      <c r="BZ3" s="1050"/>
      <c r="CA3" s="1050"/>
      <c r="CB3" s="1050"/>
      <c r="CC3" s="1050"/>
      <c r="CD3" s="1050"/>
      <c r="CE3" s="1050"/>
      <c r="CF3" s="1050"/>
      <c r="CG3" s="1050"/>
      <c r="CH3" s="1051"/>
    </row>
    <row r="4" spans="1:86" ht="19.5" customHeight="1" thickBot="1" x14ac:dyDescent="0.35">
      <c r="A4" s="6" t="s">
        <v>49</v>
      </c>
      <c r="B4" s="7">
        <v>3</v>
      </c>
      <c r="C4" s="662" t="s">
        <v>50</v>
      </c>
      <c r="J4" s="1046"/>
      <c r="K4" s="919">
        <f t="shared" si="1"/>
        <v>3</v>
      </c>
      <c r="L4" s="930" t="s">
        <v>815</v>
      </c>
      <c r="M4" s="931" t="s">
        <v>659</v>
      </c>
      <c r="N4" s="932" t="s">
        <v>806</v>
      </c>
      <c r="Q4" t="str">
        <f>INDEX(RT_Документация[Данни],MATCH(Q$3,RT_Документация[Категория],0))</f>
        <v>2020/2021</v>
      </c>
      <c r="R4" t="str">
        <f>INDEX(RT_Документация[Данни],MATCH(R$3,RT_Документация[Категория],0))</f>
        <v>Летен</v>
      </c>
      <c r="S4" t="str">
        <f>INDEX(RT_Документация[Данни],MATCH(S$3,RT_Документация[Категория],0))</f>
        <v>2020-2021</v>
      </c>
      <c r="T4" t="str">
        <f>INDEX(RT_Документация[Данни],MATCH(T$3,RT_Документация[Категория],0))</f>
        <v>БЛАНКА</v>
      </c>
      <c r="U4" t="str">
        <f>T(INDEX(RT_Документация[Данни],MATCH(U$3,RT_Документация[Категория],0)))</f>
        <v/>
      </c>
      <c r="V4" t="str">
        <f>T(INDEX(RT_Документация[Данни],MATCH(V$3,RT_Документация[Категория],0)))</f>
        <v/>
      </c>
      <c r="W4" t="str">
        <f>T(INDEX(RT_Документация[Данни],MATCH(W$3,RT_Документация[Категория],0)))</f>
        <v/>
      </c>
      <c r="X4" t="str">
        <f>T(INDEX(RT_Документация[Данни],MATCH(X$3,RT_Документация[Категория],0)))</f>
        <v/>
      </c>
      <c r="Y4">
        <f>INDEX(RT_Документация[Данни],MATCH(Y$3,RT_Документация[Категория],0))</f>
        <v>0</v>
      </c>
      <c r="Z4">
        <f>INDEX(RT_Документация[Данни],MATCH(Z$3,RT_Документация[Категория],0))</f>
        <v>0</v>
      </c>
      <c r="AA4" t="str">
        <f>T(INDEX(RT_Документация[Данни],MATCH(AA$3,RT_Документация[Категория],0)))</f>
        <v/>
      </c>
      <c r="AB4">
        <f>INDEX(RT_Документация[Данни],MATCH(AB$3,RT_Документация[Категория],0))</f>
        <v>0</v>
      </c>
      <c r="AC4">
        <f>INDEX(RT_Документация[Данни],MATCH(AC$3,RT_Документация[Категория],0))</f>
        <v>0</v>
      </c>
      <c r="AD4">
        <f>INDEX(RT_Документация[Данни],MATCH(AD$3,RT_Документация[Категория],0))</f>
        <v>0</v>
      </c>
      <c r="AE4">
        <f>INDEX(RT_Документация[Данни],MATCH(AE$3,RT_Документация[Категория],0))</f>
        <v>0</v>
      </c>
      <c r="AF4" t="str">
        <f>INDEX(RT_Документация[Данни],MATCH(AF$3,RT_Документация[Категория],0))</f>
        <v>Преподавател</v>
      </c>
      <c r="AG4" t="str">
        <f>INDEX(RT_Документация[Данни],MATCH(AG$3,RT_Документация[Категория],0))</f>
        <v>Факултет</v>
      </c>
      <c r="AH4" t="str">
        <f>INDEX(RT_Документация[Данни],MATCH(AH$3,RT_Документация[Категория],0))</f>
        <v>катедра</v>
      </c>
      <c r="AI4">
        <f>INDEX(RT_Документация[Данни],MATCH(AI$3,RT_Документация[Категория],0))</f>
        <v>0</v>
      </c>
      <c r="AJ4" t="str">
        <f>INDEX(RT_Документация[Данни],MATCH(AJ$3,RT_Документация[Категория],0))</f>
        <v>Не</v>
      </c>
      <c r="AK4">
        <f>INDEX(RT_Документация[Данни],MATCH(AK$3,RT_Документация[Категория],0))</f>
        <v>0</v>
      </c>
      <c r="AL4">
        <f>INDEX(RT_Документация[Данни],MATCH(AL$3,RT_Документация[Категория],0))</f>
        <v>0</v>
      </c>
      <c r="AM4">
        <f>INDEX(RT_Документация[Данни],MATCH(AM$3,RT_Документация[Категория],0))</f>
        <v>0</v>
      </c>
      <c r="AN4">
        <f>INDEX(RT_Документация[Данни],MATCH(AN$3,RT_Документация[Категория],0))</f>
        <v>0</v>
      </c>
      <c r="AO4">
        <f>INDEX(RT_Документация[Данни],MATCH(AO$3,RT_Документация[Категория],0))</f>
        <v>0</v>
      </c>
      <c r="AP4">
        <f>INDEX(RT_Документация[Данни],MATCH(AP$3,RT_Документация[Категория],0))</f>
        <v>0</v>
      </c>
      <c r="AQ4" t="str">
        <f ca="1">INDEX(RT_Документация[Данни],MATCH(AQ$3,RT_Документация[Категория],0))</f>
        <v>Бланка-2020-2021-IO-2-SU-Индивидуален отчет.xlsx</v>
      </c>
      <c r="AR4" t="str">
        <f ca="1">INDEX(RT_Документация[Данни],MATCH(AR$3,RT_Документация[Категория],0))</f>
        <v>A:\0_IPO\2020-2021\2. Летен\VBA\еФормуляр\[Бланка-2020-2021-IO-2-SU-Индивидуален отчет.xlsx]1. Отчет</v>
      </c>
      <c r="AS4">
        <f>INDEX(RT_Документация[Данни],MATCH(AS$3,RT_Документация[Категория],0))</f>
        <v>0</v>
      </c>
      <c r="AT4">
        <f>INDEX(RT_Документация[Данни],MATCH(AT$3,RT_Документация[Категория],0))</f>
        <v>0</v>
      </c>
      <c r="AU4">
        <f>INDEX(RT_Документация[Данни],MATCH(AU$3,RT_Документация[Категория],0))</f>
        <v>0</v>
      </c>
      <c r="AV4">
        <f>INDEX(RT_Документация[Данни],MATCH(AV$3,RT_Документация[Категория],0))</f>
        <v>0</v>
      </c>
      <c r="AW4">
        <f>INDEX(RT_Документация[Данни],MATCH(AW$3,RT_Документация[Категория],0))</f>
        <v>0</v>
      </c>
      <c r="AX4">
        <f>INDEX(RT_Документация[Данни],MATCH(AX$3,RT_Документация[Категория],0))</f>
        <v>0</v>
      </c>
      <c r="AY4">
        <f>INDEX(RT_Документация[Данни],MATCH(AY$3,RT_Документация[Категория],0))</f>
        <v>0</v>
      </c>
      <c r="AZ4">
        <f>INDEX(RT_Документация[Данни],MATCH(AZ$3,RT_Документация[Категория],0))</f>
        <v>0</v>
      </c>
      <c r="BA4">
        <f>INDEX(RT_Документация[Данни],MATCH(BA$3,RT_Документация[Категория],0))</f>
        <v>0</v>
      </c>
      <c r="BB4">
        <f>INDEX(RT_Документация[Данни],MATCH(BB$3,RT_Документация[Категория],0))</f>
        <v>0</v>
      </c>
      <c r="BD4" s="1041"/>
      <c r="BE4" s="1042"/>
      <c r="BF4" s="1042"/>
      <c r="BG4" s="1042"/>
      <c r="BH4" s="1042"/>
      <c r="BI4" s="1042"/>
      <c r="BJ4" s="1042"/>
      <c r="BK4" s="1042"/>
      <c r="BL4" s="1042"/>
      <c r="BM4" s="1043"/>
      <c r="BN4" s="1045"/>
      <c r="BO4" s="1041"/>
      <c r="BP4" s="1042"/>
      <c r="BQ4" s="1042"/>
      <c r="BR4" s="1042"/>
      <c r="BS4" s="1042"/>
      <c r="BT4" s="1043"/>
      <c r="BU4" s="1041"/>
      <c r="BV4" s="1042"/>
      <c r="BW4" s="1042"/>
      <c r="BX4" s="1052" t="s">
        <v>854</v>
      </c>
      <c r="BY4" s="1053"/>
      <c r="BZ4" s="1053"/>
      <c r="CA4" s="1053"/>
      <c r="CB4" s="1053"/>
      <c r="CC4" s="1054"/>
      <c r="CD4" s="1055" t="s">
        <v>855</v>
      </c>
      <c r="CE4" s="1056"/>
      <c r="CF4" s="1056"/>
      <c r="CG4" s="1056"/>
      <c r="CH4" s="1057"/>
    </row>
    <row r="5" spans="1:86" ht="15.75" thickBot="1" x14ac:dyDescent="0.3">
      <c r="A5" s="6" t="s">
        <v>47</v>
      </c>
      <c r="B5" s="7">
        <v>4</v>
      </c>
      <c r="C5" s="662" t="s">
        <v>48</v>
      </c>
      <c r="J5" s="1046"/>
      <c r="K5" s="919">
        <f t="shared" si="1"/>
        <v>4</v>
      </c>
      <c r="L5" s="921" t="s">
        <v>816</v>
      </c>
      <c r="M5" s="933" t="s">
        <v>659</v>
      </c>
      <c r="N5" s="934" t="s">
        <v>517</v>
      </c>
      <c r="BD5" t="s">
        <v>580</v>
      </c>
      <c r="BE5" t="s">
        <v>856</v>
      </c>
      <c r="BF5" t="s">
        <v>857</v>
      </c>
      <c r="BG5" t="s">
        <v>858</v>
      </c>
      <c r="BH5" t="s">
        <v>859</v>
      </c>
      <c r="BI5" t="s">
        <v>860</v>
      </c>
      <c r="BJ5" s="531" t="s">
        <v>861</v>
      </c>
      <c r="BK5" t="s">
        <v>904</v>
      </c>
      <c r="BL5" t="s">
        <v>905</v>
      </c>
      <c r="BM5" s="531" t="s">
        <v>906</v>
      </c>
      <c r="BN5" t="s">
        <v>850</v>
      </c>
      <c r="BO5" s="531" t="s">
        <v>18</v>
      </c>
      <c r="BP5" s="531" t="s">
        <v>445</v>
      </c>
      <c r="BQ5" s="531" t="s">
        <v>862</v>
      </c>
      <c r="BR5" s="531" t="s">
        <v>863</v>
      </c>
      <c r="BS5" s="531" t="s">
        <v>446</v>
      </c>
      <c r="BT5" t="s">
        <v>864</v>
      </c>
      <c r="BU5" t="s">
        <v>865</v>
      </c>
      <c r="BV5" t="s">
        <v>136</v>
      </c>
      <c r="BW5" t="s">
        <v>866</v>
      </c>
      <c r="BX5" t="s">
        <v>867</v>
      </c>
      <c r="BY5" t="s">
        <v>868</v>
      </c>
      <c r="BZ5" t="s">
        <v>869</v>
      </c>
      <c r="CA5" t="s">
        <v>870</v>
      </c>
      <c r="CB5" t="s">
        <v>871</v>
      </c>
      <c r="CC5" t="s">
        <v>694</v>
      </c>
      <c r="CD5" s="807" t="s">
        <v>872</v>
      </c>
      <c r="CE5" s="807" t="s">
        <v>873</v>
      </c>
      <c r="CF5" s="807" t="s">
        <v>874</v>
      </c>
      <c r="CG5" s="807" t="s">
        <v>875</v>
      </c>
      <c r="CH5" s="807" t="s">
        <v>876</v>
      </c>
    </row>
    <row r="6" spans="1:86" x14ac:dyDescent="0.25">
      <c r="A6" s="6" t="s">
        <v>45</v>
      </c>
      <c r="B6" s="7">
        <v>5</v>
      </c>
      <c r="C6" s="662" t="s">
        <v>46</v>
      </c>
      <c r="J6" s="1046"/>
      <c r="K6" s="919">
        <f t="shared" si="1"/>
        <v>5</v>
      </c>
      <c r="L6" s="921" t="s">
        <v>817</v>
      </c>
      <c r="M6" s="933" t="s">
        <v>659</v>
      </c>
      <c r="N6" s="934"/>
      <c r="BD6" s="956">
        <f ca="1">N(OFFSET(тИндидОТЧЕТ[[#This Row],[№]],-1,0))+1</f>
        <v>1</v>
      </c>
      <c r="BE6" s="957" t="str">
        <f t="shared" ref="BE6:BE36" si="2">T($N$13)</f>
        <v/>
      </c>
      <c r="BF6" s="958" t="str">
        <f t="shared" ref="BF6:BF36" si="3">T($N$14)</f>
        <v/>
      </c>
      <c r="BG6" s="959" t="str">
        <f t="shared" ref="BG6:BG36" si="4">T($N$6)</f>
        <v/>
      </c>
      <c r="BH6" s="959" t="str">
        <f t="shared" ref="BH6:BH36" si="5">T($N$7)</f>
        <v/>
      </c>
      <c r="BI6" s="959" t="str">
        <f t="shared" ref="BI6:BI36" si="6">T($N$8)</f>
        <v/>
      </c>
      <c r="BJ6" s="1035" t="str">
        <f t="shared" ref="BJ6:BJ36" si="7">T($N$9)</f>
        <v/>
      </c>
      <c r="BK6" s="1035">
        <f t="shared" ref="BK6:BK36" si="8">N($N$10)</f>
        <v>0</v>
      </c>
      <c r="BL6" s="1035">
        <f t="shared" ref="BL6:BL36" si="9">N($N$11)</f>
        <v>0</v>
      </c>
      <c r="BM6" s="960" t="str">
        <f t="shared" ref="BM6:BM36" si="10">T($N$12)</f>
        <v/>
      </c>
      <c r="BN6" s="961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6" s="962" t="str">
        <f>T('1. Планд'!$B$6)</f>
        <v/>
      </c>
      <c r="BP6" s="962" t="str">
        <f>T('1. Планд'!$B$8)</f>
        <v/>
      </c>
      <c r="BQ6" s="963" t="str">
        <f>T('1. Планд'!$B$13)</f>
        <v/>
      </c>
      <c r="BR6" s="962" t="str">
        <f>IF(T('1. Планд'!$E$18)="Не","",T('1. Планд'!$E$18))</f>
        <v/>
      </c>
      <c r="BS6" s="962" t="str">
        <f>T('1. Планд'!$F$13)</f>
        <v/>
      </c>
      <c r="BT6" s="764" t="str">
        <f>T('1. Планд'!$E$16)</f>
        <v/>
      </c>
      <c r="BU6" s="964" t="str">
        <f t="shared" ref="BU6:BU36" si="11">T(Учебна_година)</f>
        <v>2020/2021</v>
      </c>
      <c r="BV6" s="965" t="str">
        <f t="shared" ref="BV6:BV36" si="12">T(Семестър)</f>
        <v>Летен</v>
      </c>
      <c r="BW6" s="966" t="s">
        <v>873</v>
      </c>
      <c r="BX6" s="967" t="s">
        <v>877</v>
      </c>
      <c r="BY6" s="968">
        <f>N('1. Планд'!H26)</f>
        <v>0</v>
      </c>
      <c r="BZ6" s="969">
        <f>N('1. Планд'!I26)</f>
        <v>0</v>
      </c>
      <c r="CA6" s="968">
        <f>N('1. Планд'!J26)</f>
        <v>0</v>
      </c>
      <c r="CB6" s="969">
        <f>N('1. Планд'!K26)</f>
        <v>0</v>
      </c>
      <c r="CC6" s="968">
        <f>N('1. Планд'!L26)</f>
        <v>0</v>
      </c>
      <c r="CD6" s="1024">
        <f t="shared" ref="CD6:CD36" si="13">$BY$33</f>
        <v>0</v>
      </c>
      <c r="CE6" s="1025">
        <f t="shared" ref="CE6:CE36" si="14">$BY$34</f>
        <v>0</v>
      </c>
      <c r="CF6" s="1026">
        <f t="shared" ref="CF6:CF36" si="15">$CC$35</f>
        <v>0</v>
      </c>
      <c r="CG6" s="1024">
        <f t="shared" ref="CG6:CG36" si="16">$CC$33</f>
        <v>0</v>
      </c>
      <c r="CH6" s="1025">
        <f t="shared" ref="CH6:CH36" si="17">$CC$34</f>
        <v>0</v>
      </c>
    </row>
    <row r="7" spans="1:86" x14ac:dyDescent="0.25">
      <c r="A7" s="6" t="s">
        <v>40</v>
      </c>
      <c r="B7" s="7">
        <v>6</v>
      </c>
      <c r="C7" s="662" t="s">
        <v>636</v>
      </c>
      <c r="J7" s="1046"/>
      <c r="K7" s="919">
        <f t="shared" si="1"/>
        <v>6</v>
      </c>
      <c r="L7" s="921" t="s">
        <v>818</v>
      </c>
      <c r="M7" s="922" t="str">
        <f>M6</f>
        <v>Админ.</v>
      </c>
      <c r="N7" s="934"/>
      <c r="BD7" s="970">
        <f ca="1">N(OFFSET(тИндидОТЧЕТ[[#This Row],[№]],-1,0))+1</f>
        <v>2</v>
      </c>
      <c r="BE7" s="971" t="str">
        <f t="shared" si="2"/>
        <v/>
      </c>
      <c r="BF7" s="972" t="str">
        <f t="shared" si="3"/>
        <v/>
      </c>
      <c r="BG7" s="973" t="str">
        <f t="shared" si="4"/>
        <v/>
      </c>
      <c r="BH7" s="973" t="str">
        <f t="shared" si="5"/>
        <v/>
      </c>
      <c r="BI7" s="973" t="str">
        <f t="shared" si="6"/>
        <v/>
      </c>
      <c r="BJ7" s="1036" t="str">
        <f t="shared" si="7"/>
        <v/>
      </c>
      <c r="BK7" s="1036">
        <f t="shared" si="8"/>
        <v>0</v>
      </c>
      <c r="BL7" s="1036">
        <f t="shared" si="9"/>
        <v>0</v>
      </c>
      <c r="BM7" s="974" t="str">
        <f t="shared" si="10"/>
        <v/>
      </c>
      <c r="BN7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7" s="976" t="str">
        <f t="shared" ref="BO7:BT22" si="18">BO6</f>
        <v/>
      </c>
      <c r="BP7" s="976" t="str">
        <f t="shared" si="18"/>
        <v/>
      </c>
      <c r="BQ7" s="977" t="str">
        <f t="shared" si="18"/>
        <v/>
      </c>
      <c r="BR7" s="976" t="str">
        <f t="shared" si="18"/>
        <v/>
      </c>
      <c r="BS7" s="976" t="str">
        <f t="shared" si="18"/>
        <v/>
      </c>
      <c r="BT7" s="978" t="str">
        <f t="shared" si="18"/>
        <v/>
      </c>
      <c r="BU7" s="979" t="str">
        <f t="shared" si="11"/>
        <v>2020/2021</v>
      </c>
      <c r="BV7" s="456" t="str">
        <f t="shared" si="12"/>
        <v>Летен</v>
      </c>
      <c r="BW7" s="980" t="s">
        <v>873</v>
      </c>
      <c r="BX7" s="981" t="s">
        <v>878</v>
      </c>
      <c r="BY7" s="982">
        <f>N('1. Планд'!H27)</f>
        <v>0</v>
      </c>
      <c r="BZ7" s="983">
        <f>N('1. Планд'!I27)</f>
        <v>0</v>
      </c>
      <c r="CA7" s="982">
        <f>N('1. Планд'!J27)</f>
        <v>0</v>
      </c>
      <c r="CB7" s="983">
        <f>N('1. Планд'!K27)</f>
        <v>0</v>
      </c>
      <c r="CC7" s="982">
        <f>N('1. Планд'!L27)</f>
        <v>0</v>
      </c>
      <c r="CD7" s="1027">
        <f t="shared" si="13"/>
        <v>0</v>
      </c>
      <c r="CE7" s="1028">
        <f t="shared" si="14"/>
        <v>0</v>
      </c>
      <c r="CF7" s="1029">
        <f t="shared" si="15"/>
        <v>0</v>
      </c>
      <c r="CG7" s="1027">
        <f t="shared" si="16"/>
        <v>0</v>
      </c>
      <c r="CH7" s="1028">
        <f t="shared" si="17"/>
        <v>0</v>
      </c>
    </row>
    <row r="8" spans="1:86" x14ac:dyDescent="0.25">
      <c r="A8" s="6" t="s">
        <v>41</v>
      </c>
      <c r="B8" s="7">
        <v>7</v>
      </c>
      <c r="C8" s="662" t="s">
        <v>42</v>
      </c>
      <c r="J8" s="1046"/>
      <c r="K8" s="919">
        <f t="shared" si="1"/>
        <v>7</v>
      </c>
      <c r="L8" s="921" t="s">
        <v>819</v>
      </c>
      <c r="M8" s="933" t="s">
        <v>659</v>
      </c>
      <c r="N8" s="934"/>
      <c r="BD8" s="970">
        <f ca="1">N(OFFSET(тИндидОТЧЕТ[[#This Row],[№]],-1,0))+1</f>
        <v>3</v>
      </c>
      <c r="BE8" s="971" t="str">
        <f t="shared" si="2"/>
        <v/>
      </c>
      <c r="BF8" s="972" t="str">
        <f t="shared" si="3"/>
        <v/>
      </c>
      <c r="BG8" s="973" t="str">
        <f t="shared" si="4"/>
        <v/>
      </c>
      <c r="BH8" s="973" t="str">
        <f t="shared" si="5"/>
        <v/>
      </c>
      <c r="BI8" s="973" t="str">
        <f t="shared" si="6"/>
        <v/>
      </c>
      <c r="BJ8" s="1036" t="str">
        <f t="shared" si="7"/>
        <v/>
      </c>
      <c r="BK8" s="1036">
        <f t="shared" si="8"/>
        <v>0</v>
      </c>
      <c r="BL8" s="1036">
        <f t="shared" si="9"/>
        <v>0</v>
      </c>
      <c r="BM8" s="974" t="str">
        <f t="shared" si="10"/>
        <v/>
      </c>
      <c r="BN8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8" s="976" t="str">
        <f t="shared" si="18"/>
        <v/>
      </c>
      <c r="BP8" s="976" t="str">
        <f t="shared" si="18"/>
        <v/>
      </c>
      <c r="BQ8" s="977" t="str">
        <f t="shared" si="18"/>
        <v/>
      </c>
      <c r="BR8" s="976" t="str">
        <f t="shared" si="18"/>
        <v/>
      </c>
      <c r="BS8" s="976" t="str">
        <f t="shared" si="18"/>
        <v/>
      </c>
      <c r="BT8" s="978" t="str">
        <f t="shared" si="18"/>
        <v/>
      </c>
      <c r="BU8" s="979" t="str">
        <f t="shared" si="11"/>
        <v>2020/2021</v>
      </c>
      <c r="BV8" s="456" t="str">
        <f t="shared" si="12"/>
        <v>Летен</v>
      </c>
      <c r="BW8" s="980" t="s">
        <v>873</v>
      </c>
      <c r="BX8" s="981" t="s">
        <v>879</v>
      </c>
      <c r="BY8" s="982">
        <f>N('1. Планд'!H28)</f>
        <v>0</v>
      </c>
      <c r="BZ8" s="983">
        <f>N('1. Планд'!I28)</f>
        <v>0</v>
      </c>
      <c r="CA8" s="982">
        <f>N('1. Планд'!J28)</f>
        <v>0</v>
      </c>
      <c r="CB8" s="983">
        <f>N('1. Планд'!K28)</f>
        <v>0</v>
      </c>
      <c r="CC8" s="982">
        <f>N('1. Планд'!L28)</f>
        <v>0</v>
      </c>
      <c r="CD8" s="1027">
        <f t="shared" si="13"/>
        <v>0</v>
      </c>
      <c r="CE8" s="1028">
        <f t="shared" si="14"/>
        <v>0</v>
      </c>
      <c r="CF8" s="1029">
        <f t="shared" si="15"/>
        <v>0</v>
      </c>
      <c r="CG8" s="1027">
        <f t="shared" si="16"/>
        <v>0</v>
      </c>
      <c r="CH8" s="1028">
        <f t="shared" si="17"/>
        <v>0</v>
      </c>
    </row>
    <row r="9" spans="1:86" ht="15.75" thickBot="1" x14ac:dyDescent="0.3">
      <c r="A9" s="6" t="s">
        <v>27</v>
      </c>
      <c r="B9" s="7">
        <v>8</v>
      </c>
      <c r="C9" s="662" t="s">
        <v>638</v>
      </c>
      <c r="J9" s="1046"/>
      <c r="K9" s="919">
        <f t="shared" si="1"/>
        <v>8</v>
      </c>
      <c r="L9" s="921" t="s">
        <v>820</v>
      </c>
      <c r="M9" s="933" t="s">
        <v>659</v>
      </c>
      <c r="N9" s="935"/>
      <c r="BD9" s="970">
        <f ca="1">N(OFFSET(тИндидОТЧЕТ[[#This Row],[№]],-1,0))+1</f>
        <v>4</v>
      </c>
      <c r="BE9" s="971" t="str">
        <f t="shared" si="2"/>
        <v/>
      </c>
      <c r="BF9" s="972" t="str">
        <f t="shared" si="3"/>
        <v/>
      </c>
      <c r="BG9" s="973" t="str">
        <f t="shared" si="4"/>
        <v/>
      </c>
      <c r="BH9" s="973" t="str">
        <f t="shared" si="5"/>
        <v/>
      </c>
      <c r="BI9" s="973" t="str">
        <f t="shared" si="6"/>
        <v/>
      </c>
      <c r="BJ9" s="1036" t="str">
        <f t="shared" si="7"/>
        <v/>
      </c>
      <c r="BK9" s="1036">
        <f t="shared" si="8"/>
        <v>0</v>
      </c>
      <c r="BL9" s="1036">
        <f t="shared" si="9"/>
        <v>0</v>
      </c>
      <c r="BM9" s="974" t="str">
        <f t="shared" si="10"/>
        <v/>
      </c>
      <c r="BN9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9" s="976" t="str">
        <f t="shared" si="18"/>
        <v/>
      </c>
      <c r="BP9" s="976" t="str">
        <f t="shared" si="18"/>
        <v/>
      </c>
      <c r="BQ9" s="977" t="str">
        <f t="shared" si="18"/>
        <v/>
      </c>
      <c r="BR9" s="976" t="str">
        <f t="shared" si="18"/>
        <v/>
      </c>
      <c r="BS9" s="976" t="str">
        <f t="shared" si="18"/>
        <v/>
      </c>
      <c r="BT9" s="978" t="str">
        <f t="shared" si="18"/>
        <v/>
      </c>
      <c r="BU9" s="979" t="str">
        <f t="shared" si="11"/>
        <v>2020/2021</v>
      </c>
      <c r="BV9" s="456" t="str">
        <f t="shared" si="12"/>
        <v>Летен</v>
      </c>
      <c r="BW9" s="984" t="s">
        <v>873</v>
      </c>
      <c r="BX9" s="985" t="s">
        <v>880</v>
      </c>
      <c r="BY9" s="986">
        <f>N('1. Планд'!H29)</f>
        <v>0</v>
      </c>
      <c r="BZ9" s="987">
        <f>N('1. Планд'!I29)</f>
        <v>0</v>
      </c>
      <c r="CA9" s="986">
        <f>N('1. Планд'!J29)</f>
        <v>0</v>
      </c>
      <c r="CB9" s="987">
        <f>N('1. Планд'!K29)</f>
        <v>0</v>
      </c>
      <c r="CC9" s="986">
        <f>N('1. Планд'!L29)</f>
        <v>0</v>
      </c>
      <c r="CD9" s="1027">
        <f t="shared" si="13"/>
        <v>0</v>
      </c>
      <c r="CE9" s="1028">
        <f t="shared" si="14"/>
        <v>0</v>
      </c>
      <c r="CF9" s="1029">
        <f t="shared" si="15"/>
        <v>0</v>
      </c>
      <c r="CG9" s="1027">
        <f t="shared" si="16"/>
        <v>0</v>
      </c>
      <c r="CH9" s="1028">
        <f t="shared" si="17"/>
        <v>0</v>
      </c>
    </row>
    <row r="10" spans="1:86" ht="15.75" thickBot="1" x14ac:dyDescent="0.3">
      <c r="A10" s="6" t="s">
        <v>32</v>
      </c>
      <c r="B10" s="7">
        <v>9</v>
      </c>
      <c r="C10" s="662" t="s">
        <v>33</v>
      </c>
      <c r="J10" s="1046"/>
      <c r="K10" s="919">
        <f t="shared" si="1"/>
        <v>9</v>
      </c>
      <c r="L10" s="942" t="s">
        <v>904</v>
      </c>
      <c r="M10" s="1033" t="str">
        <f t="shared" ref="M10:M12" si="19">M9</f>
        <v>Админ.</v>
      </c>
      <c r="N10" s="935"/>
      <c r="BD10" s="970">
        <f ca="1">N(OFFSET(тИндидОТЧЕТ[[#This Row],[№]],-1,0))+1</f>
        <v>5</v>
      </c>
      <c r="BE10" s="971" t="str">
        <f t="shared" si="2"/>
        <v/>
      </c>
      <c r="BF10" s="972" t="str">
        <f t="shared" si="3"/>
        <v/>
      </c>
      <c r="BG10" s="973" t="str">
        <f t="shared" si="4"/>
        <v/>
      </c>
      <c r="BH10" s="973" t="str">
        <f t="shared" si="5"/>
        <v/>
      </c>
      <c r="BI10" s="973" t="str">
        <f t="shared" si="6"/>
        <v/>
      </c>
      <c r="BJ10" s="1036" t="str">
        <f t="shared" si="7"/>
        <v/>
      </c>
      <c r="BK10" s="1036">
        <f t="shared" si="8"/>
        <v>0</v>
      </c>
      <c r="BL10" s="1036">
        <f t="shared" si="9"/>
        <v>0</v>
      </c>
      <c r="BM10" s="974" t="str">
        <f t="shared" si="10"/>
        <v/>
      </c>
      <c r="BN10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0" s="976" t="str">
        <f t="shared" si="18"/>
        <v/>
      </c>
      <c r="BP10" s="976" t="str">
        <f t="shared" si="18"/>
        <v/>
      </c>
      <c r="BQ10" s="977" t="str">
        <f t="shared" si="18"/>
        <v/>
      </c>
      <c r="BR10" s="976" t="str">
        <f t="shared" si="18"/>
        <v/>
      </c>
      <c r="BS10" s="976" t="str">
        <f t="shared" si="18"/>
        <v/>
      </c>
      <c r="BT10" s="978" t="str">
        <f t="shared" si="18"/>
        <v/>
      </c>
      <c r="BU10" s="979" t="str">
        <f t="shared" si="11"/>
        <v>2020/2021</v>
      </c>
      <c r="BV10" s="456" t="str">
        <f t="shared" si="12"/>
        <v>Летен</v>
      </c>
      <c r="BW10" s="966" t="s">
        <v>881</v>
      </c>
      <c r="BX10" s="988" t="s">
        <v>882</v>
      </c>
      <c r="BY10" s="968">
        <f>'1. Планд'!H31</f>
        <v>0</v>
      </c>
      <c r="BZ10" s="969">
        <f>'1. Планд'!I31</f>
        <v>0</v>
      </c>
      <c r="CA10" s="968">
        <f>'1. Планд'!J31</f>
        <v>0</v>
      </c>
      <c r="CB10" s="969">
        <f>'1. Планд'!K31</f>
        <v>0</v>
      </c>
      <c r="CC10" s="989"/>
      <c r="CD10" s="1027">
        <f t="shared" si="13"/>
        <v>0</v>
      </c>
      <c r="CE10" s="1028">
        <f t="shared" si="14"/>
        <v>0</v>
      </c>
      <c r="CF10" s="1029">
        <f t="shared" si="15"/>
        <v>0</v>
      </c>
      <c r="CG10" s="1027">
        <f t="shared" si="16"/>
        <v>0</v>
      </c>
      <c r="CH10" s="1028">
        <f t="shared" si="17"/>
        <v>0</v>
      </c>
    </row>
    <row r="11" spans="1:86" ht="15.75" thickTop="1" x14ac:dyDescent="0.25">
      <c r="A11" s="6" t="s">
        <v>25</v>
      </c>
      <c r="B11" s="7">
        <v>10</v>
      </c>
      <c r="C11" s="662" t="s">
        <v>26</v>
      </c>
      <c r="J11" s="1046"/>
      <c r="K11" s="919">
        <f t="shared" si="1"/>
        <v>10</v>
      </c>
      <c r="L11" s="942" t="s">
        <v>905</v>
      </c>
      <c r="M11" s="1033" t="str">
        <f t="shared" si="19"/>
        <v>Админ.</v>
      </c>
      <c r="N11" s="935"/>
      <c r="BD11" s="970">
        <f ca="1">N(OFFSET(тИндидОТЧЕТ[[#This Row],[№]],-1,0))+1</f>
        <v>6</v>
      </c>
      <c r="BE11" s="971" t="str">
        <f t="shared" si="2"/>
        <v/>
      </c>
      <c r="BF11" s="972" t="str">
        <f t="shared" si="3"/>
        <v/>
      </c>
      <c r="BG11" s="973" t="str">
        <f t="shared" si="4"/>
        <v/>
      </c>
      <c r="BH11" s="973" t="str">
        <f t="shared" si="5"/>
        <v/>
      </c>
      <c r="BI11" s="973" t="str">
        <f t="shared" si="6"/>
        <v/>
      </c>
      <c r="BJ11" s="1036" t="str">
        <f t="shared" si="7"/>
        <v/>
      </c>
      <c r="BK11" s="1036">
        <f t="shared" si="8"/>
        <v>0</v>
      </c>
      <c r="BL11" s="1036">
        <f t="shared" si="9"/>
        <v>0</v>
      </c>
      <c r="BM11" s="974" t="str">
        <f t="shared" si="10"/>
        <v/>
      </c>
      <c r="BN11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1" s="976" t="str">
        <f t="shared" si="18"/>
        <v/>
      </c>
      <c r="BP11" s="976" t="str">
        <f t="shared" si="18"/>
        <v/>
      </c>
      <c r="BQ11" s="977" t="str">
        <f t="shared" si="18"/>
        <v/>
      </c>
      <c r="BR11" s="976" t="str">
        <f t="shared" si="18"/>
        <v/>
      </c>
      <c r="BS11" s="976" t="str">
        <f t="shared" si="18"/>
        <v/>
      </c>
      <c r="BT11" s="978" t="str">
        <f t="shared" si="18"/>
        <v/>
      </c>
      <c r="BU11" s="979" t="str">
        <f t="shared" si="11"/>
        <v>2020/2021</v>
      </c>
      <c r="BV11" s="456" t="str">
        <f t="shared" si="12"/>
        <v>Летен</v>
      </c>
      <c r="BW11" s="980" t="s">
        <v>881</v>
      </c>
      <c r="BX11" s="990" t="s">
        <v>883</v>
      </c>
      <c r="BY11" s="991">
        <f>'1. Планд'!H32</f>
        <v>0</v>
      </c>
      <c r="BZ11" s="992">
        <f>'1. Планд'!I32</f>
        <v>0</v>
      </c>
      <c r="CA11" s="991">
        <f>'1. Планд'!J32</f>
        <v>0</v>
      </c>
      <c r="CB11" s="992">
        <f>'1. Планд'!K32</f>
        <v>0</v>
      </c>
      <c r="CC11" s="993"/>
      <c r="CD11" s="1027">
        <f t="shared" si="13"/>
        <v>0</v>
      </c>
      <c r="CE11" s="1028">
        <f t="shared" si="14"/>
        <v>0</v>
      </c>
      <c r="CF11" s="1029">
        <f t="shared" si="15"/>
        <v>0</v>
      </c>
      <c r="CG11" s="1027">
        <f t="shared" si="16"/>
        <v>0</v>
      </c>
      <c r="CH11" s="1028">
        <f t="shared" si="17"/>
        <v>0</v>
      </c>
    </row>
    <row r="12" spans="1:86" ht="15" customHeight="1" thickBot="1" x14ac:dyDescent="0.3">
      <c r="A12" s="6" t="s">
        <v>298</v>
      </c>
      <c r="B12" s="7">
        <v>11</v>
      </c>
      <c r="C12" s="662" t="s">
        <v>299</v>
      </c>
      <c r="J12" s="1046"/>
      <c r="K12" s="919">
        <f t="shared" si="1"/>
        <v>11</v>
      </c>
      <c r="L12" s="942" t="s">
        <v>906</v>
      </c>
      <c r="M12" s="1033" t="str">
        <f t="shared" si="19"/>
        <v>Админ.</v>
      </c>
      <c r="N12" s="935"/>
      <c r="BD12" s="970">
        <f ca="1">N(OFFSET(тИндидОТЧЕТ[[#This Row],[№]],-1,0))+1</f>
        <v>7</v>
      </c>
      <c r="BE12" s="971" t="str">
        <f t="shared" si="2"/>
        <v/>
      </c>
      <c r="BF12" s="972" t="str">
        <f t="shared" si="3"/>
        <v/>
      </c>
      <c r="BG12" s="973" t="str">
        <f t="shared" si="4"/>
        <v/>
      </c>
      <c r="BH12" s="973" t="str">
        <f t="shared" si="5"/>
        <v/>
      </c>
      <c r="BI12" s="973" t="str">
        <f t="shared" si="6"/>
        <v/>
      </c>
      <c r="BJ12" s="1036" t="str">
        <f t="shared" si="7"/>
        <v/>
      </c>
      <c r="BK12" s="1036">
        <f t="shared" si="8"/>
        <v>0</v>
      </c>
      <c r="BL12" s="1036">
        <f t="shared" si="9"/>
        <v>0</v>
      </c>
      <c r="BM12" s="974" t="str">
        <f t="shared" si="10"/>
        <v/>
      </c>
      <c r="BN12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2" s="976" t="str">
        <f t="shared" si="18"/>
        <v/>
      </c>
      <c r="BP12" s="976" t="str">
        <f t="shared" si="18"/>
        <v/>
      </c>
      <c r="BQ12" s="977" t="str">
        <f t="shared" si="18"/>
        <v/>
      </c>
      <c r="BR12" s="976" t="str">
        <f t="shared" si="18"/>
        <v/>
      </c>
      <c r="BS12" s="976" t="str">
        <f t="shared" si="18"/>
        <v/>
      </c>
      <c r="BT12" s="978" t="str">
        <f t="shared" si="18"/>
        <v/>
      </c>
      <c r="BU12" s="979" t="str">
        <f t="shared" si="11"/>
        <v>2020/2021</v>
      </c>
      <c r="BV12" s="456" t="str">
        <f t="shared" si="12"/>
        <v>Летен</v>
      </c>
      <c r="BW12" s="980" t="s">
        <v>881</v>
      </c>
      <c r="BX12" s="994" t="s">
        <v>884</v>
      </c>
      <c r="BY12" s="995">
        <f>'1. Планд'!H33</f>
        <v>0</v>
      </c>
      <c r="BZ12" s="996">
        <f>'1. Планд'!I33</f>
        <v>0</v>
      </c>
      <c r="CA12" s="995">
        <f>'1. Планд'!J33</f>
        <v>0</v>
      </c>
      <c r="CB12" s="996">
        <f>'1. Планд'!K33</f>
        <v>0</v>
      </c>
      <c r="CC12" s="997"/>
      <c r="CD12" s="1027">
        <f t="shared" si="13"/>
        <v>0</v>
      </c>
      <c r="CE12" s="1028">
        <f t="shared" si="14"/>
        <v>0</v>
      </c>
      <c r="CF12" s="1029">
        <f t="shared" si="15"/>
        <v>0</v>
      </c>
      <c r="CG12" s="1027">
        <f t="shared" si="16"/>
        <v>0</v>
      </c>
      <c r="CH12" s="1028">
        <f t="shared" si="17"/>
        <v>0</v>
      </c>
    </row>
    <row r="13" spans="1:86" ht="15" customHeight="1" thickTop="1" thickBot="1" x14ac:dyDescent="0.3">
      <c r="A13" s="6" t="s">
        <v>38</v>
      </c>
      <c r="B13" s="7">
        <v>12</v>
      </c>
      <c r="C13" s="662" t="s">
        <v>39</v>
      </c>
      <c r="J13" s="1046"/>
      <c r="K13" s="920">
        <f t="shared" si="1"/>
        <v>12</v>
      </c>
      <c r="L13" s="921" t="s">
        <v>821</v>
      </c>
      <c r="M13" s="933" t="s">
        <v>659</v>
      </c>
      <c r="N13" s="934"/>
      <c r="BD13" s="970">
        <f ca="1">N(OFFSET(тИндидОТЧЕТ[[#This Row],[№]],-1,0))+1</f>
        <v>8</v>
      </c>
      <c r="BE13" s="971" t="str">
        <f t="shared" si="2"/>
        <v/>
      </c>
      <c r="BF13" s="972" t="str">
        <f t="shared" si="3"/>
        <v/>
      </c>
      <c r="BG13" s="973" t="str">
        <f t="shared" si="4"/>
        <v/>
      </c>
      <c r="BH13" s="973" t="str">
        <f t="shared" si="5"/>
        <v/>
      </c>
      <c r="BI13" s="973" t="str">
        <f t="shared" si="6"/>
        <v/>
      </c>
      <c r="BJ13" s="1036" t="str">
        <f t="shared" si="7"/>
        <v/>
      </c>
      <c r="BK13" s="1036">
        <f t="shared" si="8"/>
        <v>0</v>
      </c>
      <c r="BL13" s="1036">
        <f t="shared" si="9"/>
        <v>0</v>
      </c>
      <c r="BM13" s="974" t="str">
        <f t="shared" si="10"/>
        <v/>
      </c>
      <c r="BN13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3" s="976" t="str">
        <f t="shared" si="18"/>
        <v/>
      </c>
      <c r="BP13" s="976" t="str">
        <f t="shared" si="18"/>
        <v/>
      </c>
      <c r="BQ13" s="977" t="str">
        <f t="shared" si="18"/>
        <v/>
      </c>
      <c r="BR13" s="976" t="str">
        <f t="shared" si="18"/>
        <v/>
      </c>
      <c r="BS13" s="976" t="str">
        <f t="shared" si="18"/>
        <v/>
      </c>
      <c r="BT13" s="978" t="str">
        <f t="shared" si="18"/>
        <v/>
      </c>
      <c r="BU13" s="979" t="str">
        <f t="shared" si="11"/>
        <v>2020/2021</v>
      </c>
      <c r="BV13" s="456" t="str">
        <f t="shared" si="12"/>
        <v>Летен</v>
      </c>
      <c r="BW13" s="980" t="s">
        <v>881</v>
      </c>
      <c r="BX13" s="998" t="s">
        <v>885</v>
      </c>
      <c r="BY13" s="982">
        <f>'1. Планд'!H34</f>
        <v>0</v>
      </c>
      <c r="BZ13" s="983">
        <f>'1. Планд'!I34</f>
        <v>0</v>
      </c>
      <c r="CA13" s="982">
        <f>'1. Планд'!J34</f>
        <v>0</v>
      </c>
      <c r="CB13" s="983">
        <f>'1. Планд'!K34</f>
        <v>0</v>
      </c>
      <c r="CC13" s="999"/>
      <c r="CD13" s="1027">
        <f t="shared" si="13"/>
        <v>0</v>
      </c>
      <c r="CE13" s="1028">
        <f t="shared" si="14"/>
        <v>0</v>
      </c>
      <c r="CF13" s="1029">
        <f t="shared" si="15"/>
        <v>0</v>
      </c>
      <c r="CG13" s="1027">
        <f t="shared" si="16"/>
        <v>0</v>
      </c>
      <c r="CH13" s="1028">
        <f t="shared" si="17"/>
        <v>0</v>
      </c>
    </row>
    <row r="14" spans="1:86" ht="15" customHeight="1" x14ac:dyDescent="0.25">
      <c r="A14" s="6" t="s">
        <v>37</v>
      </c>
      <c r="B14" s="7">
        <v>13</v>
      </c>
      <c r="C14" s="662" t="s">
        <v>657</v>
      </c>
      <c r="J14" s="1046"/>
      <c r="K14" s="918">
        <f t="shared" si="1"/>
        <v>13</v>
      </c>
      <c r="L14" s="921" t="s">
        <v>822</v>
      </c>
      <c r="M14" s="933" t="s">
        <v>659</v>
      </c>
      <c r="N14" s="934"/>
      <c r="BD14" s="970">
        <f ca="1">N(OFFSET(тИндидОТЧЕТ[[#This Row],[№]],-1,0))+1</f>
        <v>9</v>
      </c>
      <c r="BE14" s="971" t="str">
        <f t="shared" si="2"/>
        <v/>
      </c>
      <c r="BF14" s="972" t="str">
        <f t="shared" si="3"/>
        <v/>
      </c>
      <c r="BG14" s="973" t="str">
        <f t="shared" si="4"/>
        <v/>
      </c>
      <c r="BH14" s="973" t="str">
        <f t="shared" si="5"/>
        <v/>
      </c>
      <c r="BI14" s="973" t="str">
        <f t="shared" si="6"/>
        <v/>
      </c>
      <c r="BJ14" s="1036" t="str">
        <f t="shared" si="7"/>
        <v/>
      </c>
      <c r="BK14" s="1036">
        <f t="shared" si="8"/>
        <v>0</v>
      </c>
      <c r="BL14" s="1036">
        <f t="shared" si="9"/>
        <v>0</v>
      </c>
      <c r="BM14" s="974" t="str">
        <f t="shared" si="10"/>
        <v/>
      </c>
      <c r="BN14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4" s="976" t="str">
        <f t="shared" si="18"/>
        <v/>
      </c>
      <c r="BP14" s="976" t="str">
        <f t="shared" si="18"/>
        <v/>
      </c>
      <c r="BQ14" s="977" t="str">
        <f t="shared" si="18"/>
        <v/>
      </c>
      <c r="BR14" s="976" t="str">
        <f t="shared" si="18"/>
        <v/>
      </c>
      <c r="BS14" s="976" t="str">
        <f t="shared" si="18"/>
        <v/>
      </c>
      <c r="BT14" s="978" t="str">
        <f t="shared" si="18"/>
        <v/>
      </c>
      <c r="BU14" s="979" t="str">
        <f t="shared" si="11"/>
        <v>2020/2021</v>
      </c>
      <c r="BV14" s="456" t="str">
        <f t="shared" si="12"/>
        <v>Летен</v>
      </c>
      <c r="BW14" s="980" t="s">
        <v>881</v>
      </c>
      <c r="BX14" s="998" t="s">
        <v>886</v>
      </c>
      <c r="BY14" s="982">
        <f>'1. Планд'!H35</f>
        <v>0</v>
      </c>
      <c r="BZ14" s="983">
        <f>'1. Планд'!I35</f>
        <v>0</v>
      </c>
      <c r="CA14" s="982">
        <f>'1. Планд'!J35</f>
        <v>0</v>
      </c>
      <c r="CB14" s="983">
        <f>'1. Планд'!K35</f>
        <v>0</v>
      </c>
      <c r="CC14" s="999"/>
      <c r="CD14" s="1027">
        <f t="shared" si="13"/>
        <v>0</v>
      </c>
      <c r="CE14" s="1028">
        <f t="shared" si="14"/>
        <v>0</v>
      </c>
      <c r="CF14" s="1029">
        <f t="shared" si="15"/>
        <v>0</v>
      </c>
      <c r="CG14" s="1027">
        <f t="shared" si="16"/>
        <v>0</v>
      </c>
      <c r="CH14" s="1028">
        <f t="shared" si="17"/>
        <v>0</v>
      </c>
    </row>
    <row r="15" spans="1:86" x14ac:dyDescent="0.25">
      <c r="A15" s="6" t="s">
        <v>34</v>
      </c>
      <c r="B15" s="7">
        <v>14</v>
      </c>
      <c r="C15" s="662" t="s">
        <v>35</v>
      </c>
      <c r="J15" s="1046"/>
      <c r="K15" s="919">
        <f t="shared" si="1"/>
        <v>14</v>
      </c>
      <c r="L15" s="921" t="s">
        <v>823</v>
      </c>
      <c r="M15" s="933" t="s">
        <v>659</v>
      </c>
      <c r="N15" s="934"/>
      <c r="BD15" s="970">
        <f ca="1">N(OFFSET(тИндидОТЧЕТ[[#This Row],[№]],-1,0))+1</f>
        <v>10</v>
      </c>
      <c r="BE15" s="971" t="str">
        <f t="shared" si="2"/>
        <v/>
      </c>
      <c r="BF15" s="972" t="str">
        <f t="shared" si="3"/>
        <v/>
      </c>
      <c r="BG15" s="973" t="str">
        <f t="shared" si="4"/>
        <v/>
      </c>
      <c r="BH15" s="973" t="str">
        <f t="shared" si="5"/>
        <v/>
      </c>
      <c r="BI15" s="973" t="str">
        <f t="shared" si="6"/>
        <v/>
      </c>
      <c r="BJ15" s="1036" t="str">
        <f t="shared" si="7"/>
        <v/>
      </c>
      <c r="BK15" s="1036">
        <f t="shared" si="8"/>
        <v>0</v>
      </c>
      <c r="BL15" s="1036">
        <f t="shared" si="9"/>
        <v>0</v>
      </c>
      <c r="BM15" s="974" t="str">
        <f t="shared" si="10"/>
        <v/>
      </c>
      <c r="BN15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5" s="976" t="str">
        <f t="shared" si="18"/>
        <v/>
      </c>
      <c r="BP15" s="976" t="str">
        <f t="shared" si="18"/>
        <v/>
      </c>
      <c r="BQ15" s="977" t="str">
        <f t="shared" si="18"/>
        <v/>
      </c>
      <c r="BR15" s="976" t="str">
        <f t="shared" si="18"/>
        <v/>
      </c>
      <c r="BS15" s="976" t="str">
        <f t="shared" si="18"/>
        <v/>
      </c>
      <c r="BT15" s="978" t="str">
        <f t="shared" si="18"/>
        <v/>
      </c>
      <c r="BU15" s="979" t="str">
        <f t="shared" si="11"/>
        <v>2020/2021</v>
      </c>
      <c r="BV15" s="456" t="str">
        <f t="shared" si="12"/>
        <v>Летен</v>
      </c>
      <c r="BW15" s="980" t="s">
        <v>881</v>
      </c>
      <c r="BX15" s="998" t="s">
        <v>887</v>
      </c>
      <c r="BY15" s="982">
        <f>'1. Планд'!H36</f>
        <v>0</v>
      </c>
      <c r="BZ15" s="983">
        <f>'1. Планд'!I36</f>
        <v>0</v>
      </c>
      <c r="CA15" s="982">
        <f>'1. Планд'!J36</f>
        <v>0</v>
      </c>
      <c r="CB15" s="983">
        <f>'1. Планд'!K36</f>
        <v>0</v>
      </c>
      <c r="CC15" s="999"/>
      <c r="CD15" s="1027">
        <f t="shared" si="13"/>
        <v>0</v>
      </c>
      <c r="CE15" s="1028">
        <f t="shared" si="14"/>
        <v>0</v>
      </c>
      <c r="CF15" s="1029">
        <f t="shared" si="15"/>
        <v>0</v>
      </c>
      <c r="CG15" s="1027">
        <f t="shared" si="16"/>
        <v>0</v>
      </c>
      <c r="CH15" s="1028">
        <f t="shared" si="17"/>
        <v>0</v>
      </c>
    </row>
    <row r="16" spans="1:86" ht="15.75" thickBot="1" x14ac:dyDescent="0.3">
      <c r="A16" s="6" t="s">
        <v>28</v>
      </c>
      <c r="B16" s="7">
        <v>15</v>
      </c>
      <c r="C16" s="662" t="s">
        <v>29</v>
      </c>
      <c r="J16" s="1047"/>
      <c r="K16" s="919">
        <f t="shared" si="1"/>
        <v>15</v>
      </c>
      <c r="L16" s="927" t="s">
        <v>824</v>
      </c>
      <c r="M16" s="928" t="s">
        <v>659</v>
      </c>
      <c r="N16" s="936"/>
      <c r="BD16" s="970">
        <f ca="1">N(OFFSET(тИндидОТЧЕТ[[#This Row],[№]],-1,0))+1</f>
        <v>11</v>
      </c>
      <c r="BE16" s="971" t="str">
        <f t="shared" si="2"/>
        <v/>
      </c>
      <c r="BF16" s="972" t="str">
        <f t="shared" si="3"/>
        <v/>
      </c>
      <c r="BG16" s="973" t="str">
        <f t="shared" si="4"/>
        <v/>
      </c>
      <c r="BH16" s="973" t="str">
        <f t="shared" si="5"/>
        <v/>
      </c>
      <c r="BI16" s="973" t="str">
        <f t="shared" si="6"/>
        <v/>
      </c>
      <c r="BJ16" s="1036" t="str">
        <f t="shared" si="7"/>
        <v/>
      </c>
      <c r="BK16" s="1036">
        <f t="shared" si="8"/>
        <v>0</v>
      </c>
      <c r="BL16" s="1036">
        <f t="shared" si="9"/>
        <v>0</v>
      </c>
      <c r="BM16" s="974" t="str">
        <f t="shared" si="10"/>
        <v/>
      </c>
      <c r="BN16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6" s="976" t="str">
        <f t="shared" si="18"/>
        <v/>
      </c>
      <c r="BP16" s="976" t="str">
        <f t="shared" si="18"/>
        <v/>
      </c>
      <c r="BQ16" s="977" t="str">
        <f t="shared" si="18"/>
        <v/>
      </c>
      <c r="BR16" s="976" t="str">
        <f t="shared" si="18"/>
        <v/>
      </c>
      <c r="BS16" s="976" t="str">
        <f t="shared" si="18"/>
        <v/>
      </c>
      <c r="BT16" s="978" t="str">
        <f t="shared" si="18"/>
        <v/>
      </c>
      <c r="BU16" s="979" t="str">
        <f t="shared" si="11"/>
        <v>2020/2021</v>
      </c>
      <c r="BV16" s="456" t="str">
        <f t="shared" si="12"/>
        <v>Летен</v>
      </c>
      <c r="BW16" s="980" t="s">
        <v>881</v>
      </c>
      <c r="BX16" s="998" t="s">
        <v>888</v>
      </c>
      <c r="BY16" s="982">
        <f>'1. Планд'!H37</f>
        <v>0</v>
      </c>
      <c r="BZ16" s="983">
        <f>'1. Планд'!I37</f>
        <v>0</v>
      </c>
      <c r="CA16" s="982">
        <f>'1. Планд'!J37</f>
        <v>0</v>
      </c>
      <c r="CB16" s="983">
        <f>'1. Планд'!K37</f>
        <v>0</v>
      </c>
      <c r="CC16" s="999"/>
      <c r="CD16" s="1027">
        <f t="shared" si="13"/>
        <v>0</v>
      </c>
      <c r="CE16" s="1028">
        <f t="shared" si="14"/>
        <v>0</v>
      </c>
      <c r="CF16" s="1029">
        <f t="shared" si="15"/>
        <v>0</v>
      </c>
      <c r="CG16" s="1027">
        <f t="shared" si="16"/>
        <v>0</v>
      </c>
      <c r="CH16" s="1028">
        <f t="shared" si="17"/>
        <v>0</v>
      </c>
    </row>
    <row r="17" spans="1:86" ht="15.75" thickBot="1" x14ac:dyDescent="0.3">
      <c r="A17" s="6" t="s">
        <v>43</v>
      </c>
      <c r="B17" s="7">
        <v>16</v>
      </c>
      <c r="C17" s="662" t="s">
        <v>44</v>
      </c>
      <c r="J17" s="1046" t="s">
        <v>518</v>
      </c>
      <c r="K17" s="919">
        <f t="shared" si="1"/>
        <v>16</v>
      </c>
      <c r="L17" s="937" t="s">
        <v>825</v>
      </c>
      <c r="M17" s="938" t="s">
        <v>634</v>
      </c>
      <c r="N17" s="939" t="str">
        <f>VLOOKUP(Семестър,T_Семестри[#Data],6,0)</f>
        <v>Преподавател</v>
      </c>
      <c r="BD17" s="970">
        <f ca="1">N(OFFSET(тИндидОТЧЕТ[[#This Row],[№]],-1,0))+1</f>
        <v>12</v>
      </c>
      <c r="BE17" s="971" t="str">
        <f t="shared" si="2"/>
        <v/>
      </c>
      <c r="BF17" s="972" t="str">
        <f t="shared" si="3"/>
        <v/>
      </c>
      <c r="BG17" s="973" t="str">
        <f t="shared" si="4"/>
        <v/>
      </c>
      <c r="BH17" s="973" t="str">
        <f t="shared" si="5"/>
        <v/>
      </c>
      <c r="BI17" s="973" t="str">
        <f t="shared" si="6"/>
        <v/>
      </c>
      <c r="BJ17" s="1036" t="str">
        <f t="shared" si="7"/>
        <v/>
      </c>
      <c r="BK17" s="1036">
        <f t="shared" si="8"/>
        <v>0</v>
      </c>
      <c r="BL17" s="1036">
        <f t="shared" si="9"/>
        <v>0</v>
      </c>
      <c r="BM17" s="974" t="str">
        <f t="shared" si="10"/>
        <v/>
      </c>
      <c r="BN17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7" s="976" t="str">
        <f t="shared" si="18"/>
        <v/>
      </c>
      <c r="BP17" s="976" t="str">
        <f t="shared" si="18"/>
        <v/>
      </c>
      <c r="BQ17" s="977" t="str">
        <f t="shared" si="18"/>
        <v/>
      </c>
      <c r="BR17" s="976" t="str">
        <f t="shared" si="18"/>
        <v/>
      </c>
      <c r="BS17" s="976" t="str">
        <f t="shared" si="18"/>
        <v/>
      </c>
      <c r="BT17" s="978" t="str">
        <f t="shared" si="18"/>
        <v/>
      </c>
      <c r="BU17" s="979" t="str">
        <f t="shared" si="11"/>
        <v>2020/2021</v>
      </c>
      <c r="BV17" s="456" t="str">
        <f t="shared" si="12"/>
        <v>Летен</v>
      </c>
      <c r="BW17" s="980" t="s">
        <v>881</v>
      </c>
      <c r="BX17" s="1000" t="s">
        <v>889</v>
      </c>
      <c r="BY17" s="1001">
        <f>'1. Планд'!H38</f>
        <v>0</v>
      </c>
      <c r="BZ17" s="1002">
        <f>'1. Планд'!I38</f>
        <v>0</v>
      </c>
      <c r="CA17" s="1001">
        <f>'1. Планд'!J38</f>
        <v>0</v>
      </c>
      <c r="CB17" s="1002">
        <f>'1. Планд'!K38</f>
        <v>0</v>
      </c>
      <c r="CC17" s="1003"/>
      <c r="CD17" s="1027">
        <f t="shared" si="13"/>
        <v>0</v>
      </c>
      <c r="CE17" s="1028">
        <f t="shared" si="14"/>
        <v>0</v>
      </c>
      <c r="CF17" s="1029">
        <f t="shared" si="15"/>
        <v>0</v>
      </c>
      <c r="CG17" s="1027">
        <f t="shared" si="16"/>
        <v>0</v>
      </c>
      <c r="CH17" s="1028">
        <f t="shared" si="17"/>
        <v>0</v>
      </c>
    </row>
    <row r="18" spans="1:86" ht="15.75" thickTop="1" x14ac:dyDescent="0.25">
      <c r="A18" s="9" t="s">
        <v>754</v>
      </c>
      <c r="B18" s="10">
        <v>17</v>
      </c>
      <c r="C18" s="663" t="s">
        <v>637</v>
      </c>
      <c r="J18" s="1046"/>
      <c r="K18" s="919">
        <f t="shared" si="1"/>
        <v>17</v>
      </c>
      <c r="L18" s="921" t="s">
        <v>826</v>
      </c>
      <c r="M18" s="922" t="str">
        <f t="shared" ref="M18:M27" si="20">M17</f>
        <v>Препод.</v>
      </c>
      <c r="N18" s="940" t="str">
        <f>VLOOKUP(Семестър,T_Семестри[#Data],3,0)</f>
        <v>Факултет</v>
      </c>
      <c r="BD18" s="970">
        <f ca="1">N(OFFSET(тИндидОТЧЕТ[[#This Row],[№]],-1,0))+1</f>
        <v>13</v>
      </c>
      <c r="BE18" s="971" t="str">
        <f t="shared" si="2"/>
        <v/>
      </c>
      <c r="BF18" s="972" t="str">
        <f t="shared" si="3"/>
        <v/>
      </c>
      <c r="BG18" s="973" t="str">
        <f t="shared" si="4"/>
        <v/>
      </c>
      <c r="BH18" s="973" t="str">
        <f t="shared" si="5"/>
        <v/>
      </c>
      <c r="BI18" s="973" t="str">
        <f t="shared" si="6"/>
        <v/>
      </c>
      <c r="BJ18" s="1036" t="str">
        <f t="shared" si="7"/>
        <v/>
      </c>
      <c r="BK18" s="1036">
        <f t="shared" si="8"/>
        <v>0</v>
      </c>
      <c r="BL18" s="1036">
        <f t="shared" si="9"/>
        <v>0</v>
      </c>
      <c r="BM18" s="974" t="str">
        <f t="shared" si="10"/>
        <v/>
      </c>
      <c r="BN18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8" s="976" t="str">
        <f t="shared" si="18"/>
        <v/>
      </c>
      <c r="BP18" s="976" t="str">
        <f t="shared" si="18"/>
        <v/>
      </c>
      <c r="BQ18" s="977" t="str">
        <f t="shared" si="18"/>
        <v/>
      </c>
      <c r="BR18" s="976" t="str">
        <f t="shared" si="18"/>
        <v/>
      </c>
      <c r="BS18" s="976" t="str">
        <f t="shared" si="18"/>
        <v/>
      </c>
      <c r="BT18" s="978" t="str">
        <f t="shared" si="18"/>
        <v/>
      </c>
      <c r="BU18" s="979" t="str">
        <f t="shared" si="11"/>
        <v>2020/2021</v>
      </c>
      <c r="BV18" s="456" t="str">
        <f t="shared" si="12"/>
        <v>Летен</v>
      </c>
      <c r="BW18" s="980" t="s">
        <v>881</v>
      </c>
      <c r="BX18" s="981" t="s">
        <v>890</v>
      </c>
      <c r="BY18" s="982">
        <f>'1. Планд'!H39</f>
        <v>0</v>
      </c>
      <c r="BZ18" s="983">
        <f>'1. Планд'!I39</f>
        <v>0</v>
      </c>
      <c r="CA18" s="982">
        <f>'1. Планд'!J39</f>
        <v>0</v>
      </c>
      <c r="CB18" s="983">
        <f>'1. Планд'!K39</f>
        <v>0</v>
      </c>
      <c r="CC18" s="999"/>
      <c r="CD18" s="1027">
        <f t="shared" si="13"/>
        <v>0</v>
      </c>
      <c r="CE18" s="1028">
        <f t="shared" si="14"/>
        <v>0</v>
      </c>
      <c r="CF18" s="1029">
        <f t="shared" si="15"/>
        <v>0</v>
      </c>
      <c r="CG18" s="1027">
        <f t="shared" si="16"/>
        <v>0</v>
      </c>
      <c r="CH18" s="1028">
        <f t="shared" si="17"/>
        <v>0</v>
      </c>
    </row>
    <row r="19" spans="1:86" x14ac:dyDescent="0.25">
      <c r="A19" s="9" t="s">
        <v>51</v>
      </c>
      <c r="B19" s="10">
        <v>18</v>
      </c>
      <c r="C19" s="663" t="s">
        <v>52</v>
      </c>
      <c r="J19" s="1046"/>
      <c r="K19" s="919">
        <f t="shared" si="1"/>
        <v>18</v>
      </c>
      <c r="L19" s="921" t="s">
        <v>827</v>
      </c>
      <c r="M19" s="922" t="str">
        <f t="shared" si="20"/>
        <v>Препод.</v>
      </c>
      <c r="N19" s="940" t="str">
        <f>VLOOKUP(Семестър,T_Семестри[#Data],4,0)</f>
        <v>катедра</v>
      </c>
      <c r="BD19" s="970">
        <f ca="1">N(OFFSET(тИндидОТЧЕТ[[#This Row],[№]],-1,0))+1</f>
        <v>14</v>
      </c>
      <c r="BE19" s="971" t="str">
        <f t="shared" si="2"/>
        <v/>
      </c>
      <c r="BF19" s="972" t="str">
        <f t="shared" si="3"/>
        <v/>
      </c>
      <c r="BG19" s="973" t="str">
        <f t="shared" si="4"/>
        <v/>
      </c>
      <c r="BH19" s="973" t="str">
        <f t="shared" si="5"/>
        <v/>
      </c>
      <c r="BI19" s="973" t="str">
        <f t="shared" si="6"/>
        <v/>
      </c>
      <c r="BJ19" s="1036" t="str">
        <f t="shared" si="7"/>
        <v/>
      </c>
      <c r="BK19" s="1036">
        <f t="shared" si="8"/>
        <v>0</v>
      </c>
      <c r="BL19" s="1036">
        <f t="shared" si="9"/>
        <v>0</v>
      </c>
      <c r="BM19" s="974" t="str">
        <f t="shared" si="10"/>
        <v/>
      </c>
      <c r="BN19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19" s="976" t="str">
        <f t="shared" si="18"/>
        <v/>
      </c>
      <c r="BP19" s="976" t="str">
        <f t="shared" si="18"/>
        <v/>
      </c>
      <c r="BQ19" s="977" t="str">
        <f t="shared" si="18"/>
        <v/>
      </c>
      <c r="BR19" s="976" t="str">
        <f t="shared" si="18"/>
        <v/>
      </c>
      <c r="BS19" s="976" t="str">
        <f t="shared" si="18"/>
        <v/>
      </c>
      <c r="BT19" s="978" t="str">
        <f t="shared" si="18"/>
        <v/>
      </c>
      <c r="BU19" s="979" t="str">
        <f t="shared" si="11"/>
        <v>2020/2021</v>
      </c>
      <c r="BV19" s="456" t="str">
        <f t="shared" si="12"/>
        <v>Летен</v>
      </c>
      <c r="BW19" s="980" t="s">
        <v>881</v>
      </c>
      <c r="BX19" s="981" t="s">
        <v>891</v>
      </c>
      <c r="BY19" s="982">
        <f>'1. Планд'!H40</f>
        <v>0</v>
      </c>
      <c r="BZ19" s="983">
        <f>'1. Планд'!I40</f>
        <v>0</v>
      </c>
      <c r="CA19" s="982">
        <f>'1. Планд'!J40</f>
        <v>0</v>
      </c>
      <c r="CB19" s="983">
        <f>'1. Планд'!K40</f>
        <v>0</v>
      </c>
      <c r="CC19" s="999"/>
      <c r="CD19" s="1027">
        <f t="shared" si="13"/>
        <v>0</v>
      </c>
      <c r="CE19" s="1028">
        <f t="shared" si="14"/>
        <v>0</v>
      </c>
      <c r="CF19" s="1029">
        <f t="shared" si="15"/>
        <v>0</v>
      </c>
      <c r="CG19" s="1027">
        <f t="shared" si="16"/>
        <v>0</v>
      </c>
      <c r="CH19" s="1028">
        <f t="shared" si="17"/>
        <v>0</v>
      </c>
    </row>
    <row r="20" spans="1:86" ht="15.75" thickBot="1" x14ac:dyDescent="0.3">
      <c r="A20" s="9" t="s">
        <v>53</v>
      </c>
      <c r="B20" s="10">
        <v>19</v>
      </c>
      <c r="C20" s="663" t="s">
        <v>54</v>
      </c>
      <c r="J20" s="1046"/>
      <c r="K20" s="919">
        <f t="shared" si="1"/>
        <v>19</v>
      </c>
      <c r="L20" s="921" t="s">
        <v>828</v>
      </c>
      <c r="M20" s="922" t="str">
        <f t="shared" si="20"/>
        <v>Препод.</v>
      </c>
      <c r="N20" s="941">
        <f>nАдадДлъжОтчет</f>
        <v>0</v>
      </c>
      <c r="BD20" s="970">
        <f ca="1">N(OFFSET(тИндидОТЧЕТ[[#This Row],[№]],-1,0))+1</f>
        <v>15</v>
      </c>
      <c r="BE20" s="971" t="str">
        <f t="shared" si="2"/>
        <v/>
      </c>
      <c r="BF20" s="972" t="str">
        <f t="shared" si="3"/>
        <v/>
      </c>
      <c r="BG20" s="973" t="str">
        <f t="shared" si="4"/>
        <v/>
      </c>
      <c r="BH20" s="973" t="str">
        <f t="shared" si="5"/>
        <v/>
      </c>
      <c r="BI20" s="973" t="str">
        <f t="shared" si="6"/>
        <v/>
      </c>
      <c r="BJ20" s="1036" t="str">
        <f t="shared" si="7"/>
        <v/>
      </c>
      <c r="BK20" s="1036">
        <f t="shared" si="8"/>
        <v>0</v>
      </c>
      <c r="BL20" s="1036">
        <f t="shared" si="9"/>
        <v>0</v>
      </c>
      <c r="BM20" s="974" t="str">
        <f t="shared" si="10"/>
        <v/>
      </c>
      <c r="BN20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0" s="976" t="str">
        <f t="shared" si="18"/>
        <v/>
      </c>
      <c r="BP20" s="976" t="str">
        <f t="shared" si="18"/>
        <v/>
      </c>
      <c r="BQ20" s="977" t="str">
        <f t="shared" si="18"/>
        <v/>
      </c>
      <c r="BR20" s="976" t="str">
        <f t="shared" si="18"/>
        <v/>
      </c>
      <c r="BS20" s="976" t="str">
        <f t="shared" si="18"/>
        <v/>
      </c>
      <c r="BT20" s="978" t="str">
        <f t="shared" si="18"/>
        <v/>
      </c>
      <c r="BU20" s="979" t="str">
        <f t="shared" si="11"/>
        <v>2020/2021</v>
      </c>
      <c r="BV20" s="456" t="str">
        <f t="shared" si="12"/>
        <v>Летен</v>
      </c>
      <c r="BW20" s="980" t="s">
        <v>881</v>
      </c>
      <c r="BX20" s="1004" t="s">
        <v>892</v>
      </c>
      <c r="BY20" s="1001">
        <f>'1. Планд'!H41</f>
        <v>0</v>
      </c>
      <c r="BZ20" s="1002">
        <f>'1. Планд'!I41</f>
        <v>0</v>
      </c>
      <c r="CA20" s="1001">
        <f>'1. Планд'!J41</f>
        <v>0</v>
      </c>
      <c r="CB20" s="1002">
        <f>'1. Планд'!K41</f>
        <v>0</v>
      </c>
      <c r="CC20" s="1003"/>
      <c r="CD20" s="1027">
        <f t="shared" si="13"/>
        <v>0</v>
      </c>
      <c r="CE20" s="1028">
        <f t="shared" si="14"/>
        <v>0</v>
      </c>
      <c r="CF20" s="1029">
        <f t="shared" si="15"/>
        <v>0</v>
      </c>
      <c r="CG20" s="1027">
        <f t="shared" si="16"/>
        <v>0</v>
      </c>
      <c r="CH20" s="1028">
        <f t="shared" si="17"/>
        <v>0</v>
      </c>
    </row>
    <row r="21" spans="1:86" ht="15" customHeight="1" thickTop="1" x14ac:dyDescent="0.25">
      <c r="A21" s="9" t="s">
        <v>55</v>
      </c>
      <c r="B21" s="10">
        <v>20</v>
      </c>
      <c r="C21" s="663" t="s">
        <v>56</v>
      </c>
      <c r="J21" s="1046"/>
      <c r="K21" s="919">
        <f t="shared" si="1"/>
        <v>20</v>
      </c>
      <c r="L21" s="921" t="s">
        <v>829</v>
      </c>
      <c r="M21" s="922" t="str">
        <f t="shared" si="20"/>
        <v>Препод.</v>
      </c>
      <c r="N21" s="941" t="str">
        <f>nРъковДлъжОтчет</f>
        <v>Не</v>
      </c>
      <c r="BD21" s="970">
        <f ca="1">N(OFFSET(тИндидОТЧЕТ[[#This Row],[№]],-1,0))+1</f>
        <v>16</v>
      </c>
      <c r="BE21" s="971" t="str">
        <f t="shared" si="2"/>
        <v/>
      </c>
      <c r="BF21" s="972" t="str">
        <f t="shared" si="3"/>
        <v/>
      </c>
      <c r="BG21" s="973" t="str">
        <f t="shared" si="4"/>
        <v/>
      </c>
      <c r="BH21" s="973" t="str">
        <f t="shared" si="5"/>
        <v/>
      </c>
      <c r="BI21" s="973" t="str">
        <f t="shared" si="6"/>
        <v/>
      </c>
      <c r="BJ21" s="1036" t="str">
        <f t="shared" si="7"/>
        <v/>
      </c>
      <c r="BK21" s="1036">
        <f t="shared" si="8"/>
        <v>0</v>
      </c>
      <c r="BL21" s="1036">
        <f t="shared" si="9"/>
        <v>0</v>
      </c>
      <c r="BM21" s="974" t="str">
        <f t="shared" si="10"/>
        <v/>
      </c>
      <c r="BN21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1" s="976" t="str">
        <f t="shared" si="18"/>
        <v/>
      </c>
      <c r="BP21" s="976" t="str">
        <f t="shared" si="18"/>
        <v/>
      </c>
      <c r="BQ21" s="977" t="str">
        <f t="shared" si="18"/>
        <v/>
      </c>
      <c r="BR21" s="976" t="str">
        <f t="shared" si="18"/>
        <v/>
      </c>
      <c r="BS21" s="976" t="str">
        <f t="shared" si="18"/>
        <v/>
      </c>
      <c r="BT21" s="978" t="str">
        <f t="shared" si="18"/>
        <v/>
      </c>
      <c r="BU21" s="979" t="str">
        <f t="shared" si="11"/>
        <v>2020/2021</v>
      </c>
      <c r="BV21" s="456" t="str">
        <f t="shared" si="12"/>
        <v>Летен</v>
      </c>
      <c r="BW21" s="980" t="s">
        <v>881</v>
      </c>
      <c r="BX21" s="981" t="s">
        <v>893</v>
      </c>
      <c r="BY21" s="982">
        <f>'1. Планд'!H42</f>
        <v>0</v>
      </c>
      <c r="BZ21" s="983">
        <f>'1. Планд'!I42</f>
        <v>0</v>
      </c>
      <c r="CA21" s="982">
        <f>'1. Планд'!J42</f>
        <v>0</v>
      </c>
      <c r="CB21" s="983">
        <f>'1. Планд'!K42</f>
        <v>0</v>
      </c>
      <c r="CC21" s="999"/>
      <c r="CD21" s="1027">
        <f t="shared" si="13"/>
        <v>0</v>
      </c>
      <c r="CE21" s="1028">
        <f t="shared" si="14"/>
        <v>0</v>
      </c>
      <c r="CF21" s="1029">
        <f t="shared" si="15"/>
        <v>0</v>
      </c>
      <c r="CG21" s="1027">
        <f t="shared" si="16"/>
        <v>0</v>
      </c>
      <c r="CH21" s="1028">
        <f t="shared" si="17"/>
        <v>0</v>
      </c>
    </row>
    <row r="22" spans="1:86" x14ac:dyDescent="0.25">
      <c r="A22" s="15"/>
      <c r="B22" s="16"/>
      <c r="C22" s="15"/>
      <c r="J22" s="1046"/>
      <c r="K22" s="919">
        <f t="shared" si="1"/>
        <v>21</v>
      </c>
      <c r="L22" s="942" t="s">
        <v>830</v>
      </c>
      <c r="M22" s="922" t="str">
        <f t="shared" si="20"/>
        <v>Препод.</v>
      </c>
      <c r="N22" s="941">
        <f>'1. Отчет'!E17</f>
        <v>0</v>
      </c>
      <c r="BD22" s="970">
        <f ca="1">N(OFFSET(тИндидОТЧЕТ[[#This Row],[№]],-1,0))+1</f>
        <v>17</v>
      </c>
      <c r="BE22" s="971" t="str">
        <f t="shared" si="2"/>
        <v/>
      </c>
      <c r="BF22" s="972" t="str">
        <f t="shared" si="3"/>
        <v/>
      </c>
      <c r="BG22" s="973" t="str">
        <f t="shared" si="4"/>
        <v/>
      </c>
      <c r="BH22" s="973" t="str">
        <f t="shared" si="5"/>
        <v/>
      </c>
      <c r="BI22" s="973" t="str">
        <f t="shared" si="6"/>
        <v/>
      </c>
      <c r="BJ22" s="1036" t="str">
        <f t="shared" si="7"/>
        <v/>
      </c>
      <c r="BK22" s="1036">
        <f t="shared" si="8"/>
        <v>0</v>
      </c>
      <c r="BL22" s="1036">
        <f t="shared" si="9"/>
        <v>0</v>
      </c>
      <c r="BM22" s="974" t="str">
        <f t="shared" si="10"/>
        <v/>
      </c>
      <c r="BN22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2" s="976" t="str">
        <f t="shared" si="18"/>
        <v/>
      </c>
      <c r="BP22" s="976" t="str">
        <f t="shared" si="18"/>
        <v/>
      </c>
      <c r="BQ22" s="977" t="str">
        <f t="shared" si="18"/>
        <v/>
      </c>
      <c r="BR22" s="976" t="str">
        <f t="shared" si="18"/>
        <v/>
      </c>
      <c r="BS22" s="976" t="str">
        <f t="shared" si="18"/>
        <v/>
      </c>
      <c r="BT22" s="978" t="str">
        <f t="shared" si="18"/>
        <v/>
      </c>
      <c r="BU22" s="979" t="str">
        <f t="shared" si="11"/>
        <v>2020/2021</v>
      </c>
      <c r="BV22" s="456" t="str">
        <f t="shared" si="12"/>
        <v>Летен</v>
      </c>
      <c r="BW22" s="980" t="s">
        <v>881</v>
      </c>
      <c r="BX22" s="981" t="s">
        <v>894</v>
      </c>
      <c r="BY22" s="982">
        <f>'1. Планд'!H43</f>
        <v>0</v>
      </c>
      <c r="BZ22" s="983">
        <f>'1. Планд'!I43</f>
        <v>0</v>
      </c>
      <c r="CA22" s="982">
        <f>'1. Планд'!J43</f>
        <v>0</v>
      </c>
      <c r="CB22" s="983">
        <f>'1. Планд'!K43</f>
        <v>0</v>
      </c>
      <c r="CC22" s="999"/>
      <c r="CD22" s="1027">
        <f t="shared" si="13"/>
        <v>0</v>
      </c>
      <c r="CE22" s="1028">
        <f t="shared" si="14"/>
        <v>0</v>
      </c>
      <c r="CF22" s="1029">
        <f t="shared" si="15"/>
        <v>0</v>
      </c>
      <c r="CG22" s="1027">
        <f t="shared" si="16"/>
        <v>0</v>
      </c>
      <c r="CH22" s="1028">
        <f t="shared" si="17"/>
        <v>0</v>
      </c>
    </row>
    <row r="23" spans="1:86" ht="15" customHeight="1" thickBot="1" x14ac:dyDescent="0.3">
      <c r="A23" s="21" t="s">
        <v>66</v>
      </c>
      <c r="B23" s="16"/>
      <c r="C23" s="15"/>
      <c r="J23" s="1046"/>
      <c r="K23" s="919">
        <f t="shared" si="1"/>
        <v>22</v>
      </c>
      <c r="L23" s="921" t="s">
        <v>831</v>
      </c>
      <c r="M23" s="922" t="str">
        <f>M19</f>
        <v>Препод.</v>
      </c>
      <c r="N23" s="943">
        <f>(Лекторат)*1</f>
        <v>0</v>
      </c>
      <c r="BD23" s="970">
        <f ca="1">N(OFFSET(тИндидОТЧЕТ[[#This Row],[№]],-1,0))+1</f>
        <v>18</v>
      </c>
      <c r="BE23" s="971" t="str">
        <f t="shared" si="2"/>
        <v/>
      </c>
      <c r="BF23" s="972" t="str">
        <f t="shared" si="3"/>
        <v/>
      </c>
      <c r="BG23" s="973" t="str">
        <f t="shared" si="4"/>
        <v/>
      </c>
      <c r="BH23" s="973" t="str">
        <f t="shared" si="5"/>
        <v/>
      </c>
      <c r="BI23" s="973" t="str">
        <f t="shared" si="6"/>
        <v/>
      </c>
      <c r="BJ23" s="1036" t="str">
        <f t="shared" si="7"/>
        <v/>
      </c>
      <c r="BK23" s="1036">
        <f t="shared" si="8"/>
        <v>0</v>
      </c>
      <c r="BL23" s="1036">
        <f t="shared" si="9"/>
        <v>0</v>
      </c>
      <c r="BM23" s="974" t="str">
        <f t="shared" si="10"/>
        <v/>
      </c>
      <c r="BN23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3" s="976" t="str">
        <f t="shared" ref="BO23:BT36" si="21">BO22</f>
        <v/>
      </c>
      <c r="BP23" s="976" t="str">
        <f t="shared" si="21"/>
        <v/>
      </c>
      <c r="BQ23" s="977" t="str">
        <f t="shared" si="21"/>
        <v/>
      </c>
      <c r="BR23" s="976" t="str">
        <f t="shared" si="21"/>
        <v/>
      </c>
      <c r="BS23" s="976" t="str">
        <f t="shared" si="21"/>
        <v/>
      </c>
      <c r="BT23" s="978" t="str">
        <f t="shared" si="21"/>
        <v/>
      </c>
      <c r="BU23" s="979" t="str">
        <f t="shared" si="11"/>
        <v>2020/2021</v>
      </c>
      <c r="BV23" s="456" t="str">
        <f t="shared" si="12"/>
        <v>Летен</v>
      </c>
      <c r="BW23" s="980" t="s">
        <v>881</v>
      </c>
      <c r="BX23" s="1004" t="s">
        <v>895</v>
      </c>
      <c r="BY23" s="1001">
        <f>'1. Планд'!H44</f>
        <v>0</v>
      </c>
      <c r="BZ23" s="1002">
        <f>'1. Планд'!I44</f>
        <v>0</v>
      </c>
      <c r="CA23" s="1001">
        <f>'1. Планд'!J44</f>
        <v>0</v>
      </c>
      <c r="CB23" s="1002">
        <f>'1. Планд'!K44</f>
        <v>0</v>
      </c>
      <c r="CC23" s="1003"/>
      <c r="CD23" s="1027">
        <f t="shared" si="13"/>
        <v>0</v>
      </c>
      <c r="CE23" s="1028">
        <f t="shared" si="14"/>
        <v>0</v>
      </c>
      <c r="CF23" s="1029">
        <f t="shared" si="15"/>
        <v>0</v>
      </c>
      <c r="CG23" s="1027">
        <f t="shared" si="16"/>
        <v>0</v>
      </c>
      <c r="CH23" s="1028">
        <f t="shared" si="17"/>
        <v>0</v>
      </c>
    </row>
    <row r="24" spans="1:86" ht="15" customHeight="1" thickTop="1" x14ac:dyDescent="0.25">
      <c r="A24" s="12" t="s">
        <v>141</v>
      </c>
      <c r="J24" s="1046"/>
      <c r="K24" s="919">
        <f t="shared" si="1"/>
        <v>23</v>
      </c>
      <c r="L24" s="921" t="s">
        <v>832</v>
      </c>
      <c r="M24" s="922" t="str">
        <f t="shared" si="20"/>
        <v>Препод.</v>
      </c>
      <c r="N24" s="940">
        <f>IF(Семестър="План",'1. План'!D22,'1. Отчет'!D22)</f>
        <v>0</v>
      </c>
      <c r="BD24" s="970">
        <f ca="1">N(OFFSET(тИндидОТЧЕТ[[#This Row],[№]],-1,0))+1</f>
        <v>19</v>
      </c>
      <c r="BE24" s="971" t="str">
        <f t="shared" si="2"/>
        <v/>
      </c>
      <c r="BF24" s="972" t="str">
        <f t="shared" si="3"/>
        <v/>
      </c>
      <c r="BG24" s="973" t="str">
        <f t="shared" si="4"/>
        <v/>
      </c>
      <c r="BH24" s="973" t="str">
        <f t="shared" si="5"/>
        <v/>
      </c>
      <c r="BI24" s="973" t="str">
        <f t="shared" si="6"/>
        <v/>
      </c>
      <c r="BJ24" s="1036" t="str">
        <f t="shared" si="7"/>
        <v/>
      </c>
      <c r="BK24" s="1036">
        <f t="shared" si="8"/>
        <v>0</v>
      </c>
      <c r="BL24" s="1036">
        <f t="shared" si="9"/>
        <v>0</v>
      </c>
      <c r="BM24" s="974" t="str">
        <f t="shared" si="10"/>
        <v/>
      </c>
      <c r="BN24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4" s="976" t="str">
        <f t="shared" si="21"/>
        <v/>
      </c>
      <c r="BP24" s="976" t="str">
        <f t="shared" si="21"/>
        <v/>
      </c>
      <c r="BQ24" s="977" t="str">
        <f t="shared" si="21"/>
        <v/>
      </c>
      <c r="BR24" s="976" t="str">
        <f t="shared" si="21"/>
        <v/>
      </c>
      <c r="BS24" s="976" t="str">
        <f t="shared" si="21"/>
        <v/>
      </c>
      <c r="BT24" s="978" t="str">
        <f t="shared" si="21"/>
        <v/>
      </c>
      <c r="BU24" s="979" t="str">
        <f t="shared" si="11"/>
        <v>2020/2021</v>
      </c>
      <c r="BV24" s="456" t="str">
        <f t="shared" si="12"/>
        <v>Летен</v>
      </c>
      <c r="BW24" s="980" t="s">
        <v>881</v>
      </c>
      <c r="BX24" s="981" t="s">
        <v>896</v>
      </c>
      <c r="BY24" s="982">
        <f>'1. Планд'!H45</f>
        <v>0</v>
      </c>
      <c r="BZ24" s="983">
        <f>'1. Планд'!I45</f>
        <v>0</v>
      </c>
      <c r="CA24" s="982">
        <f>'1. Планд'!J45</f>
        <v>0</v>
      </c>
      <c r="CB24" s="983">
        <f>'1. Планд'!K45</f>
        <v>0</v>
      </c>
      <c r="CC24" s="999"/>
      <c r="CD24" s="1027">
        <f t="shared" si="13"/>
        <v>0</v>
      </c>
      <c r="CE24" s="1028">
        <f t="shared" si="14"/>
        <v>0</v>
      </c>
      <c r="CF24" s="1029">
        <f t="shared" si="15"/>
        <v>0</v>
      </c>
      <c r="CG24" s="1027">
        <f t="shared" si="16"/>
        <v>0</v>
      </c>
      <c r="CH24" s="1028">
        <f t="shared" si="17"/>
        <v>0</v>
      </c>
    </row>
    <row r="25" spans="1:86" x14ac:dyDescent="0.25">
      <c r="A25" s="12" t="s">
        <v>753</v>
      </c>
      <c r="J25" s="1046"/>
      <c r="K25" s="919">
        <f t="shared" si="1"/>
        <v>24</v>
      </c>
      <c r="L25" s="921" t="s">
        <v>833</v>
      </c>
      <c r="M25" s="922" t="str">
        <f t="shared" si="20"/>
        <v>Препод.</v>
      </c>
      <c r="N25" s="940">
        <f>IF(Семестър="План",'1. План'!F22,'1. Отчет'!F22)</f>
        <v>0</v>
      </c>
      <c r="BD25" s="970">
        <f ca="1">N(OFFSET(тИндидОТЧЕТ[[#This Row],[№]],-1,0))+1</f>
        <v>20</v>
      </c>
      <c r="BE25" s="971" t="str">
        <f t="shared" si="2"/>
        <v/>
      </c>
      <c r="BF25" s="972" t="str">
        <f t="shared" si="3"/>
        <v/>
      </c>
      <c r="BG25" s="973" t="str">
        <f t="shared" si="4"/>
        <v/>
      </c>
      <c r="BH25" s="973" t="str">
        <f t="shared" si="5"/>
        <v/>
      </c>
      <c r="BI25" s="973" t="str">
        <f t="shared" si="6"/>
        <v/>
      </c>
      <c r="BJ25" s="1036" t="str">
        <f t="shared" si="7"/>
        <v/>
      </c>
      <c r="BK25" s="1036">
        <f t="shared" si="8"/>
        <v>0</v>
      </c>
      <c r="BL25" s="1036">
        <f t="shared" si="9"/>
        <v>0</v>
      </c>
      <c r="BM25" s="974" t="str">
        <f t="shared" si="10"/>
        <v/>
      </c>
      <c r="BN25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5" s="976" t="str">
        <f t="shared" si="21"/>
        <v/>
      </c>
      <c r="BP25" s="976" t="str">
        <f t="shared" si="21"/>
        <v/>
      </c>
      <c r="BQ25" s="977" t="str">
        <f t="shared" si="21"/>
        <v/>
      </c>
      <c r="BR25" s="976" t="str">
        <f t="shared" si="21"/>
        <v/>
      </c>
      <c r="BS25" s="976" t="str">
        <f t="shared" si="21"/>
        <v/>
      </c>
      <c r="BT25" s="978" t="str">
        <f t="shared" si="21"/>
        <v/>
      </c>
      <c r="BU25" s="979" t="str">
        <f t="shared" si="11"/>
        <v>2020/2021</v>
      </c>
      <c r="BV25" s="456" t="str">
        <f t="shared" si="12"/>
        <v>Летен</v>
      </c>
      <c r="BW25" s="980" t="s">
        <v>881</v>
      </c>
      <c r="BX25" s="981" t="s">
        <v>897</v>
      </c>
      <c r="BY25" s="982">
        <f>'1. Планд'!H46</f>
        <v>0</v>
      </c>
      <c r="BZ25" s="983">
        <f>'1. Планд'!I46</f>
        <v>0</v>
      </c>
      <c r="CA25" s="982">
        <f>'1. Планд'!J46</f>
        <v>0</v>
      </c>
      <c r="CB25" s="983">
        <f>'1. Планд'!K46</f>
        <v>0</v>
      </c>
      <c r="CC25" s="999"/>
      <c r="CD25" s="1027">
        <f t="shared" si="13"/>
        <v>0</v>
      </c>
      <c r="CE25" s="1028">
        <f t="shared" si="14"/>
        <v>0</v>
      </c>
      <c r="CF25" s="1029">
        <f t="shared" si="15"/>
        <v>0</v>
      </c>
      <c r="CG25" s="1027">
        <f t="shared" si="16"/>
        <v>0</v>
      </c>
      <c r="CH25" s="1028">
        <f t="shared" si="17"/>
        <v>0</v>
      </c>
    </row>
    <row r="26" spans="1:86" ht="15.75" thickBot="1" x14ac:dyDescent="0.3">
      <c r="A26" s="12" t="s">
        <v>31</v>
      </c>
      <c r="J26" s="1046"/>
      <c r="K26" s="919">
        <f t="shared" si="1"/>
        <v>25</v>
      </c>
      <c r="L26" s="921" t="s">
        <v>834</v>
      </c>
      <c r="M26" s="922" t="str">
        <f t="shared" si="20"/>
        <v>Препод.</v>
      </c>
      <c r="N26" s="940">
        <f>IF(Семестър="План",'1. План'!J22,'1. Отчет'!J22)</f>
        <v>0</v>
      </c>
      <c r="BD26" s="970">
        <f ca="1">N(OFFSET(тИндидОТЧЕТ[[#This Row],[№]],-1,0))+1</f>
        <v>21</v>
      </c>
      <c r="BE26" s="971" t="str">
        <f t="shared" si="2"/>
        <v/>
      </c>
      <c r="BF26" s="972" t="str">
        <f t="shared" si="3"/>
        <v/>
      </c>
      <c r="BG26" s="973" t="str">
        <f t="shared" si="4"/>
        <v/>
      </c>
      <c r="BH26" s="973" t="str">
        <f t="shared" si="5"/>
        <v/>
      </c>
      <c r="BI26" s="973" t="str">
        <f t="shared" si="6"/>
        <v/>
      </c>
      <c r="BJ26" s="1036" t="str">
        <f t="shared" si="7"/>
        <v/>
      </c>
      <c r="BK26" s="1036">
        <f t="shared" si="8"/>
        <v>0</v>
      </c>
      <c r="BL26" s="1036">
        <f t="shared" si="9"/>
        <v>0</v>
      </c>
      <c r="BM26" s="974" t="str">
        <f t="shared" si="10"/>
        <v/>
      </c>
      <c r="BN26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6" s="976" t="str">
        <f t="shared" si="21"/>
        <v/>
      </c>
      <c r="BP26" s="976" t="str">
        <f t="shared" si="21"/>
        <v/>
      </c>
      <c r="BQ26" s="977" t="str">
        <f t="shared" si="21"/>
        <v/>
      </c>
      <c r="BR26" s="976" t="str">
        <f t="shared" si="21"/>
        <v/>
      </c>
      <c r="BS26" s="976" t="str">
        <f t="shared" si="21"/>
        <v/>
      </c>
      <c r="BT26" s="978" t="str">
        <f t="shared" si="21"/>
        <v/>
      </c>
      <c r="BU26" s="979" t="str">
        <f t="shared" si="11"/>
        <v>2020/2021</v>
      </c>
      <c r="BV26" s="456" t="str">
        <f t="shared" si="12"/>
        <v>Летен</v>
      </c>
      <c r="BW26" s="980" t="s">
        <v>881</v>
      </c>
      <c r="BX26" s="1004" t="s">
        <v>898</v>
      </c>
      <c r="BY26" s="1001">
        <f>'1. Планд'!H47</f>
        <v>0</v>
      </c>
      <c r="BZ26" s="1002">
        <f>'1. Планд'!I47</f>
        <v>0</v>
      </c>
      <c r="CA26" s="1001">
        <f>'1. Планд'!J47</f>
        <v>0</v>
      </c>
      <c r="CB26" s="1002">
        <f>'1. Планд'!K47</f>
        <v>0</v>
      </c>
      <c r="CC26" s="1005"/>
      <c r="CD26" s="1027">
        <f t="shared" si="13"/>
        <v>0</v>
      </c>
      <c r="CE26" s="1028">
        <f t="shared" si="14"/>
        <v>0</v>
      </c>
      <c r="CF26" s="1029">
        <f t="shared" si="15"/>
        <v>0</v>
      </c>
      <c r="CG26" s="1027">
        <f t="shared" si="16"/>
        <v>0</v>
      </c>
      <c r="CH26" s="1028">
        <f t="shared" si="17"/>
        <v>0</v>
      </c>
    </row>
    <row r="27" spans="1:86" ht="15.75" thickTop="1" x14ac:dyDescent="0.25">
      <c r="A27" s="12" t="s">
        <v>50</v>
      </c>
      <c r="J27" s="1046"/>
      <c r="K27" s="919">
        <f t="shared" si="1"/>
        <v>26</v>
      </c>
      <c r="L27" s="921" t="s">
        <v>835</v>
      </c>
      <c r="M27" s="922" t="str">
        <f t="shared" si="20"/>
        <v>Препод.</v>
      </c>
      <c r="N27" s="940">
        <f>IF(Семестър="План",'1. План'!L22,'1. Отчет'!L22)</f>
        <v>0</v>
      </c>
      <c r="BD27" s="970">
        <f ca="1">N(OFFSET(тИндидОТЧЕТ[[#This Row],[№]],-1,0))+1</f>
        <v>22</v>
      </c>
      <c r="BE27" s="971" t="str">
        <f t="shared" si="2"/>
        <v/>
      </c>
      <c r="BF27" s="972" t="str">
        <f t="shared" si="3"/>
        <v/>
      </c>
      <c r="BG27" s="973" t="str">
        <f t="shared" si="4"/>
        <v/>
      </c>
      <c r="BH27" s="973" t="str">
        <f t="shared" si="5"/>
        <v/>
      </c>
      <c r="BI27" s="973" t="str">
        <f t="shared" si="6"/>
        <v/>
      </c>
      <c r="BJ27" s="1036" t="str">
        <f t="shared" si="7"/>
        <v/>
      </c>
      <c r="BK27" s="1036">
        <f t="shared" si="8"/>
        <v>0</v>
      </c>
      <c r="BL27" s="1036">
        <f t="shared" si="9"/>
        <v>0</v>
      </c>
      <c r="BM27" s="974" t="str">
        <f t="shared" si="10"/>
        <v/>
      </c>
      <c r="BN27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7" s="976" t="str">
        <f t="shared" si="21"/>
        <v/>
      </c>
      <c r="BP27" s="976" t="str">
        <f t="shared" si="21"/>
        <v/>
      </c>
      <c r="BQ27" s="977" t="str">
        <f t="shared" si="21"/>
        <v/>
      </c>
      <c r="BR27" s="976" t="str">
        <f t="shared" si="21"/>
        <v/>
      </c>
      <c r="BS27" s="976" t="str">
        <f t="shared" si="21"/>
        <v/>
      </c>
      <c r="BT27" s="978" t="str">
        <f t="shared" si="21"/>
        <v/>
      </c>
      <c r="BU27" s="979" t="str">
        <f t="shared" si="11"/>
        <v>2020/2021</v>
      </c>
      <c r="BV27" s="456" t="str">
        <f t="shared" si="12"/>
        <v>Летен</v>
      </c>
      <c r="BW27" s="980" t="s">
        <v>881</v>
      </c>
      <c r="BX27" s="981" t="s">
        <v>899</v>
      </c>
      <c r="BY27" s="1006"/>
      <c r="BZ27" s="1007"/>
      <c r="CA27" s="1006"/>
      <c r="CB27" s="1007"/>
      <c r="CC27" s="982">
        <f>'1. Планд'!L48</f>
        <v>0</v>
      </c>
      <c r="CD27" s="1027">
        <f t="shared" si="13"/>
        <v>0</v>
      </c>
      <c r="CE27" s="1028">
        <f t="shared" si="14"/>
        <v>0</v>
      </c>
      <c r="CF27" s="1029">
        <f t="shared" si="15"/>
        <v>0</v>
      </c>
      <c r="CG27" s="1027">
        <f t="shared" si="16"/>
        <v>0</v>
      </c>
      <c r="CH27" s="1028">
        <f t="shared" si="17"/>
        <v>0</v>
      </c>
    </row>
    <row r="28" spans="1:86" ht="15.75" thickBot="1" x14ac:dyDescent="0.3">
      <c r="A28" s="12" t="s">
        <v>48</v>
      </c>
      <c r="J28" s="1047"/>
      <c r="K28" s="1034">
        <f t="shared" si="1"/>
        <v>27</v>
      </c>
      <c r="L28" s="921" t="s">
        <v>836</v>
      </c>
      <c r="M28" s="922" t="str">
        <f>M19</f>
        <v>Препод.</v>
      </c>
      <c r="N28" s="944" t="str">
        <f ca="1">MID(N29,FIND("[",N29)+1,FIND("]",N29)-(FIND("[",N29)+1))</f>
        <v>Бланка-2020-2021-IO-2-SU-Индивидуален отчет.xlsx</v>
      </c>
      <c r="BD28" s="970">
        <f ca="1">N(OFFSET(тИндидОТЧЕТ[[#This Row],[№]],-1,0))+1</f>
        <v>23</v>
      </c>
      <c r="BE28" s="971" t="str">
        <f t="shared" si="2"/>
        <v/>
      </c>
      <c r="BF28" s="972" t="str">
        <f t="shared" si="3"/>
        <v/>
      </c>
      <c r="BG28" s="973" t="str">
        <f t="shared" si="4"/>
        <v/>
      </c>
      <c r="BH28" s="973" t="str">
        <f t="shared" si="5"/>
        <v/>
      </c>
      <c r="BI28" s="973" t="str">
        <f t="shared" si="6"/>
        <v/>
      </c>
      <c r="BJ28" s="1036" t="str">
        <f t="shared" si="7"/>
        <v/>
      </c>
      <c r="BK28" s="1036">
        <f t="shared" si="8"/>
        <v>0</v>
      </c>
      <c r="BL28" s="1036">
        <f t="shared" si="9"/>
        <v>0</v>
      </c>
      <c r="BM28" s="974" t="str">
        <f t="shared" si="10"/>
        <v/>
      </c>
      <c r="BN28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8" s="976" t="str">
        <f t="shared" si="21"/>
        <v/>
      </c>
      <c r="BP28" s="976" t="str">
        <f t="shared" si="21"/>
        <v/>
      </c>
      <c r="BQ28" s="977" t="str">
        <f t="shared" si="21"/>
        <v/>
      </c>
      <c r="BR28" s="976" t="str">
        <f t="shared" si="21"/>
        <v/>
      </c>
      <c r="BS28" s="976" t="str">
        <f t="shared" si="21"/>
        <v/>
      </c>
      <c r="BT28" s="978" t="str">
        <f t="shared" si="21"/>
        <v/>
      </c>
      <c r="BU28" s="979" t="str">
        <f t="shared" si="11"/>
        <v>2020/2021</v>
      </c>
      <c r="BV28" s="456" t="str">
        <f t="shared" si="12"/>
        <v>Летен</v>
      </c>
      <c r="BW28" s="984" t="s">
        <v>881</v>
      </c>
      <c r="BX28" s="985" t="s">
        <v>900</v>
      </c>
      <c r="BY28" s="1008"/>
      <c r="BZ28" s="1009"/>
      <c r="CA28" s="1008"/>
      <c r="CB28" s="1009"/>
      <c r="CC28" s="986">
        <f>'1. Планд'!L49</f>
        <v>0</v>
      </c>
      <c r="CD28" s="1027">
        <f t="shared" si="13"/>
        <v>0</v>
      </c>
      <c r="CE28" s="1028">
        <f t="shared" si="14"/>
        <v>0</v>
      </c>
      <c r="CF28" s="1029">
        <f t="shared" si="15"/>
        <v>0</v>
      </c>
      <c r="CG28" s="1027">
        <f t="shared" si="16"/>
        <v>0</v>
      </c>
      <c r="CH28" s="1028">
        <f t="shared" si="17"/>
        <v>0</v>
      </c>
    </row>
    <row r="29" spans="1:86" ht="15" customHeight="1" x14ac:dyDescent="0.25">
      <c r="A29" s="12" t="s">
        <v>46</v>
      </c>
      <c r="J29" s="1048" t="s">
        <v>840</v>
      </c>
      <c r="K29" s="918">
        <f t="shared" si="1"/>
        <v>28</v>
      </c>
      <c r="L29" s="921" t="s">
        <v>837</v>
      </c>
      <c r="M29" s="922" t="str">
        <f>M28</f>
        <v>Препод.</v>
      </c>
      <c r="N29" s="944" t="str">
        <f ca="1">CELL("filename" )</f>
        <v>A:\0_IPO\2020-2021\2. Летен\VBA\еФормуляр\[Бланка-2020-2021-IO-2-SU-Индивидуален отчет.xlsx]1. Отчет</v>
      </c>
      <c r="BD29" s="970">
        <f ca="1">N(OFFSET(тИндидОТЧЕТ[[#This Row],[№]],-1,0))+1</f>
        <v>24</v>
      </c>
      <c r="BE29" s="971" t="str">
        <f t="shared" si="2"/>
        <v/>
      </c>
      <c r="BF29" s="972" t="str">
        <f t="shared" si="3"/>
        <v/>
      </c>
      <c r="BG29" s="973" t="str">
        <f t="shared" si="4"/>
        <v/>
      </c>
      <c r="BH29" s="973" t="str">
        <f t="shared" si="5"/>
        <v/>
      </c>
      <c r="BI29" s="973" t="str">
        <f t="shared" si="6"/>
        <v/>
      </c>
      <c r="BJ29" s="1036" t="str">
        <f t="shared" si="7"/>
        <v/>
      </c>
      <c r="BK29" s="1036">
        <f t="shared" si="8"/>
        <v>0</v>
      </c>
      <c r="BL29" s="1036">
        <f t="shared" si="9"/>
        <v>0</v>
      </c>
      <c r="BM29" s="974" t="str">
        <f t="shared" si="10"/>
        <v/>
      </c>
      <c r="BN29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29" s="976" t="str">
        <f t="shared" si="21"/>
        <v/>
      </c>
      <c r="BP29" s="976" t="str">
        <f t="shared" si="21"/>
        <v/>
      </c>
      <c r="BQ29" s="977" t="str">
        <f t="shared" si="21"/>
        <v/>
      </c>
      <c r="BR29" s="976" t="str">
        <f t="shared" si="21"/>
        <v/>
      </c>
      <c r="BS29" s="976" t="str">
        <f t="shared" si="21"/>
        <v/>
      </c>
      <c r="BT29" s="978" t="str">
        <f t="shared" si="21"/>
        <v/>
      </c>
      <c r="BU29" s="979" t="str">
        <f t="shared" si="11"/>
        <v>2020/2021</v>
      </c>
      <c r="BV29" s="456" t="str">
        <f t="shared" si="12"/>
        <v>Летен</v>
      </c>
      <c r="BW29" s="966" t="s">
        <v>872</v>
      </c>
      <c r="BX29" s="1010" t="s">
        <v>414</v>
      </c>
      <c r="BY29" s="968">
        <f>'1. Планд'!H50</f>
        <v>0</v>
      </c>
      <c r="BZ29" s="969">
        <f>'1. Планд'!I50</f>
        <v>0</v>
      </c>
      <c r="CA29" s="968">
        <f>'1. Планд'!J50</f>
        <v>0</v>
      </c>
      <c r="CB29" s="969">
        <f>'1. Планд'!K50</f>
        <v>0</v>
      </c>
      <c r="CC29" s="968">
        <f>'1. Планд'!L50</f>
        <v>0</v>
      </c>
      <c r="CD29" s="1027">
        <f t="shared" si="13"/>
        <v>0</v>
      </c>
      <c r="CE29" s="1028">
        <f t="shared" si="14"/>
        <v>0</v>
      </c>
      <c r="CF29" s="1029">
        <f t="shared" si="15"/>
        <v>0</v>
      </c>
      <c r="CG29" s="1027">
        <f t="shared" si="16"/>
        <v>0</v>
      </c>
      <c r="CH29" s="1028">
        <f t="shared" si="17"/>
        <v>0</v>
      </c>
    </row>
    <row r="30" spans="1:86" x14ac:dyDescent="0.25">
      <c r="A30" s="12" t="s">
        <v>636</v>
      </c>
      <c r="J30" s="1046"/>
      <c r="K30" s="919">
        <f t="shared" si="1"/>
        <v>29</v>
      </c>
      <c r="L30" s="945" t="s">
        <v>838</v>
      </c>
      <c r="M30" s="946" t="s">
        <v>692</v>
      </c>
      <c r="N30" s="947">
        <f>'1. Отчет'!H50</f>
        <v>0</v>
      </c>
      <c r="BD30" s="970">
        <f ca="1">N(OFFSET(тИндидОТЧЕТ[[#This Row],[№]],-1,0))+1</f>
        <v>25</v>
      </c>
      <c r="BE30" s="971" t="str">
        <f t="shared" si="2"/>
        <v/>
      </c>
      <c r="BF30" s="972" t="str">
        <f t="shared" si="3"/>
        <v/>
      </c>
      <c r="BG30" s="973" t="str">
        <f t="shared" si="4"/>
        <v/>
      </c>
      <c r="BH30" s="973" t="str">
        <f t="shared" si="5"/>
        <v/>
      </c>
      <c r="BI30" s="973" t="str">
        <f t="shared" si="6"/>
        <v/>
      </c>
      <c r="BJ30" s="1036" t="str">
        <f t="shared" si="7"/>
        <v/>
      </c>
      <c r="BK30" s="1036">
        <f t="shared" si="8"/>
        <v>0</v>
      </c>
      <c r="BL30" s="1036">
        <f t="shared" si="9"/>
        <v>0</v>
      </c>
      <c r="BM30" s="974" t="str">
        <f t="shared" si="10"/>
        <v/>
      </c>
      <c r="BN30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30" s="976" t="str">
        <f t="shared" si="21"/>
        <v/>
      </c>
      <c r="BP30" s="976" t="str">
        <f t="shared" si="21"/>
        <v/>
      </c>
      <c r="BQ30" s="977" t="str">
        <f t="shared" si="21"/>
        <v/>
      </c>
      <c r="BR30" s="976" t="str">
        <f t="shared" si="21"/>
        <v/>
      </c>
      <c r="BS30" s="976" t="str">
        <f t="shared" si="21"/>
        <v/>
      </c>
      <c r="BT30" s="978" t="str">
        <f t="shared" si="21"/>
        <v/>
      </c>
      <c r="BU30" s="979" t="str">
        <f t="shared" si="11"/>
        <v>2020/2021</v>
      </c>
      <c r="BV30" s="456" t="str">
        <f t="shared" si="12"/>
        <v>Летен</v>
      </c>
      <c r="BW30" s="980" t="s">
        <v>872</v>
      </c>
      <c r="BX30" s="1011" t="s">
        <v>11</v>
      </c>
      <c r="BY30" s="982">
        <f>'1. Планд'!H51</f>
        <v>0</v>
      </c>
      <c r="BZ30" s="983">
        <f>'1. Планд'!I51</f>
        <v>0</v>
      </c>
      <c r="CA30" s="982">
        <f>'1. Планд'!J51</f>
        <v>0</v>
      </c>
      <c r="CB30" s="983">
        <f>'1. Планд'!K51</f>
        <v>0</v>
      </c>
      <c r="CC30" s="982">
        <f>'1. Планд'!L51</f>
        <v>0</v>
      </c>
      <c r="CD30" s="1027">
        <f t="shared" si="13"/>
        <v>0</v>
      </c>
      <c r="CE30" s="1028">
        <f t="shared" si="14"/>
        <v>0</v>
      </c>
      <c r="CF30" s="1029">
        <f t="shared" si="15"/>
        <v>0</v>
      </c>
      <c r="CG30" s="1027">
        <f t="shared" si="16"/>
        <v>0</v>
      </c>
      <c r="CH30" s="1028">
        <f t="shared" si="17"/>
        <v>0</v>
      </c>
    </row>
    <row r="31" spans="1:86" ht="15.75" thickBot="1" x14ac:dyDescent="0.3">
      <c r="A31" s="12" t="s">
        <v>42</v>
      </c>
      <c r="J31" s="1046"/>
      <c r="K31" s="919">
        <f t="shared" si="1"/>
        <v>30</v>
      </c>
      <c r="L31" s="948" t="s">
        <v>839</v>
      </c>
      <c r="M31" s="949" t="str">
        <f t="shared" ref="M31" si="22">M30</f>
        <v>Бакалавър</v>
      </c>
      <c r="N31" s="950">
        <f>'1. Отчет'!H51</f>
        <v>0</v>
      </c>
      <c r="BD31" s="970">
        <f ca="1">N(OFFSET(тИндидОТЧЕТ[[#This Row],[№]],-1,0))+1</f>
        <v>26</v>
      </c>
      <c r="BE31" s="971" t="str">
        <f t="shared" si="2"/>
        <v/>
      </c>
      <c r="BF31" s="972" t="str">
        <f t="shared" si="3"/>
        <v/>
      </c>
      <c r="BG31" s="973" t="str">
        <f t="shared" si="4"/>
        <v/>
      </c>
      <c r="BH31" s="973" t="str">
        <f t="shared" si="5"/>
        <v/>
      </c>
      <c r="BI31" s="973" t="str">
        <f t="shared" si="6"/>
        <v/>
      </c>
      <c r="BJ31" s="1036" t="str">
        <f t="shared" si="7"/>
        <v/>
      </c>
      <c r="BK31" s="1036">
        <f t="shared" si="8"/>
        <v>0</v>
      </c>
      <c r="BL31" s="1036">
        <f t="shared" si="9"/>
        <v>0</v>
      </c>
      <c r="BM31" s="974" t="str">
        <f t="shared" si="10"/>
        <v/>
      </c>
      <c r="BN31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31" s="976" t="str">
        <f t="shared" si="21"/>
        <v/>
      </c>
      <c r="BP31" s="976" t="str">
        <f t="shared" si="21"/>
        <v/>
      </c>
      <c r="BQ31" s="977" t="str">
        <f t="shared" si="21"/>
        <v/>
      </c>
      <c r="BR31" s="976" t="str">
        <f t="shared" si="21"/>
        <v/>
      </c>
      <c r="BS31" s="976" t="str">
        <f t="shared" si="21"/>
        <v/>
      </c>
      <c r="BT31" s="978" t="str">
        <f t="shared" si="21"/>
        <v/>
      </c>
      <c r="BU31" s="979" t="str">
        <f t="shared" si="11"/>
        <v>2020/2021</v>
      </c>
      <c r="BV31" s="456" t="str">
        <f t="shared" si="12"/>
        <v>Летен</v>
      </c>
      <c r="BW31" s="980" t="s">
        <v>872</v>
      </c>
      <c r="BX31" s="1011" t="s">
        <v>549</v>
      </c>
      <c r="BY31" s="982">
        <f>'1. Планд'!H52</f>
        <v>0</v>
      </c>
      <c r="BZ31" s="983">
        <f>'1. Планд'!I52</f>
        <v>0</v>
      </c>
      <c r="CA31" s="982">
        <f>'1. Планд'!J52</f>
        <v>0</v>
      </c>
      <c r="CB31" s="983">
        <f>'1. Планд'!K52</f>
        <v>0</v>
      </c>
      <c r="CC31" s="999"/>
      <c r="CD31" s="1027">
        <f t="shared" si="13"/>
        <v>0</v>
      </c>
      <c r="CE31" s="1028">
        <f t="shared" si="14"/>
        <v>0</v>
      </c>
      <c r="CF31" s="1029">
        <f t="shared" si="15"/>
        <v>0</v>
      </c>
      <c r="CG31" s="1027">
        <f t="shared" si="16"/>
        <v>0</v>
      </c>
      <c r="CH31" s="1028">
        <f t="shared" si="17"/>
        <v>0</v>
      </c>
    </row>
    <row r="32" spans="1:86" x14ac:dyDescent="0.25">
      <c r="A32" s="12" t="s">
        <v>638</v>
      </c>
      <c r="J32" s="1046"/>
      <c r="K32" s="919">
        <f t="shared" si="1"/>
        <v>31</v>
      </c>
      <c r="L32" s="951" t="s">
        <v>841</v>
      </c>
      <c r="M32" s="952" t="s">
        <v>693</v>
      </c>
      <c r="N32" s="953">
        <f>'1. Отчет'!I50</f>
        <v>0</v>
      </c>
      <c r="BD32" s="970">
        <f ca="1">N(OFFSET(тИндидОТЧЕТ[[#This Row],[№]],-1,0))+1</f>
        <v>27</v>
      </c>
      <c r="BE32" s="971" t="str">
        <f t="shared" si="2"/>
        <v/>
      </c>
      <c r="BF32" s="972" t="str">
        <f t="shared" si="3"/>
        <v/>
      </c>
      <c r="BG32" s="973" t="str">
        <f t="shared" si="4"/>
        <v/>
      </c>
      <c r="BH32" s="973" t="str">
        <f t="shared" si="5"/>
        <v/>
      </c>
      <c r="BI32" s="973" t="str">
        <f t="shared" si="6"/>
        <v/>
      </c>
      <c r="BJ32" s="1036" t="str">
        <f t="shared" si="7"/>
        <v/>
      </c>
      <c r="BK32" s="1036">
        <f t="shared" si="8"/>
        <v>0</v>
      </c>
      <c r="BL32" s="1036">
        <f t="shared" si="9"/>
        <v>0</v>
      </c>
      <c r="BM32" s="974" t="str">
        <f t="shared" si="10"/>
        <v/>
      </c>
      <c r="BN32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32" s="976" t="str">
        <f t="shared" si="21"/>
        <v/>
      </c>
      <c r="BP32" s="976" t="str">
        <f t="shared" si="21"/>
        <v/>
      </c>
      <c r="BQ32" s="977" t="str">
        <f t="shared" si="21"/>
        <v/>
      </c>
      <c r="BR32" s="976" t="str">
        <f t="shared" si="21"/>
        <v/>
      </c>
      <c r="BS32" s="976" t="str">
        <f t="shared" si="21"/>
        <v/>
      </c>
      <c r="BT32" s="978" t="str">
        <f t="shared" si="21"/>
        <v/>
      </c>
      <c r="BU32" s="979" t="str">
        <f t="shared" si="11"/>
        <v>2020/2021</v>
      </c>
      <c r="BV32" s="456" t="str">
        <f t="shared" si="12"/>
        <v>Летен</v>
      </c>
      <c r="BW32" s="980" t="s">
        <v>872</v>
      </c>
      <c r="BX32" s="1011" t="s">
        <v>550</v>
      </c>
      <c r="BY32" s="982">
        <f>'1. Планд'!H53</f>
        <v>0</v>
      </c>
      <c r="BZ32" s="983">
        <f>'1. Планд'!I53</f>
        <v>0</v>
      </c>
      <c r="CA32" s="982">
        <f>'1. Планд'!J53</f>
        <v>0</v>
      </c>
      <c r="CB32" s="983">
        <f>'1. Планд'!K53</f>
        <v>0</v>
      </c>
      <c r="CC32" s="999"/>
      <c r="CD32" s="1027">
        <f t="shared" si="13"/>
        <v>0</v>
      </c>
      <c r="CE32" s="1028">
        <f t="shared" si="14"/>
        <v>0</v>
      </c>
      <c r="CF32" s="1029">
        <f t="shared" si="15"/>
        <v>0</v>
      </c>
      <c r="CG32" s="1027">
        <f t="shared" si="16"/>
        <v>0</v>
      </c>
      <c r="CH32" s="1028">
        <f t="shared" si="17"/>
        <v>0</v>
      </c>
    </row>
    <row r="33" spans="1:86" ht="15.75" thickBot="1" x14ac:dyDescent="0.3">
      <c r="A33" s="12" t="s">
        <v>33</v>
      </c>
      <c r="J33" s="1046"/>
      <c r="K33" s="919">
        <f t="shared" si="1"/>
        <v>32</v>
      </c>
      <c r="L33" s="927" t="s">
        <v>842</v>
      </c>
      <c r="M33" s="954" t="str">
        <f t="shared" ref="M33" si="23">M32</f>
        <v>Магистър</v>
      </c>
      <c r="N33" s="955">
        <f>'1. Отчет'!I51</f>
        <v>0</v>
      </c>
      <c r="BD33" s="970">
        <f ca="1">N(OFFSET(тИндидОТЧЕТ[[#This Row],[№]],-1,0))+1</f>
        <v>28</v>
      </c>
      <c r="BE33" s="971" t="str">
        <f t="shared" si="2"/>
        <v/>
      </c>
      <c r="BF33" s="972" t="str">
        <f t="shared" si="3"/>
        <v/>
      </c>
      <c r="BG33" s="973" t="str">
        <f t="shared" si="4"/>
        <v/>
      </c>
      <c r="BH33" s="973" t="str">
        <f t="shared" si="5"/>
        <v/>
      </c>
      <c r="BI33" s="973" t="str">
        <f t="shared" si="6"/>
        <v/>
      </c>
      <c r="BJ33" s="1036" t="str">
        <f t="shared" si="7"/>
        <v/>
      </c>
      <c r="BK33" s="1036">
        <f t="shared" si="8"/>
        <v>0</v>
      </c>
      <c r="BL33" s="1036">
        <f t="shared" si="9"/>
        <v>0</v>
      </c>
      <c r="BM33" s="974" t="str">
        <f t="shared" si="10"/>
        <v/>
      </c>
      <c r="BN33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33" s="976" t="str">
        <f t="shared" si="21"/>
        <v/>
      </c>
      <c r="BP33" s="976" t="str">
        <f t="shared" si="21"/>
        <v/>
      </c>
      <c r="BQ33" s="977" t="str">
        <f t="shared" si="21"/>
        <v/>
      </c>
      <c r="BR33" s="976" t="str">
        <f t="shared" si="21"/>
        <v/>
      </c>
      <c r="BS33" s="976" t="str">
        <f t="shared" si="21"/>
        <v/>
      </c>
      <c r="BT33" s="978" t="str">
        <f t="shared" si="21"/>
        <v/>
      </c>
      <c r="BU33" s="979" t="str">
        <f t="shared" si="11"/>
        <v>2020/2021</v>
      </c>
      <c r="BV33" s="456" t="str">
        <f t="shared" si="12"/>
        <v>Летен</v>
      </c>
      <c r="BW33" s="980" t="s">
        <v>872</v>
      </c>
      <c r="BX33" s="1011" t="s">
        <v>415</v>
      </c>
      <c r="BY33" s="982">
        <f>'1. Планд'!H54</f>
        <v>0</v>
      </c>
      <c r="BZ33" s="1007"/>
      <c r="CA33" s="982">
        <f>'1. Планд'!J54</f>
        <v>0</v>
      </c>
      <c r="CB33" s="1007"/>
      <c r="CC33" s="982">
        <f>'1. Планд'!L54</f>
        <v>0</v>
      </c>
      <c r="CD33" s="1027">
        <f t="shared" si="13"/>
        <v>0</v>
      </c>
      <c r="CE33" s="1028">
        <f t="shared" si="14"/>
        <v>0</v>
      </c>
      <c r="CF33" s="1029">
        <f t="shared" si="15"/>
        <v>0</v>
      </c>
      <c r="CG33" s="1027">
        <f t="shared" si="16"/>
        <v>0</v>
      </c>
      <c r="CH33" s="1028">
        <f t="shared" si="17"/>
        <v>0</v>
      </c>
    </row>
    <row r="34" spans="1:86" x14ac:dyDescent="0.25">
      <c r="A34" s="12" t="s">
        <v>26</v>
      </c>
      <c r="J34" s="1046"/>
      <c r="K34" s="919">
        <f t="shared" si="1"/>
        <v>33</v>
      </c>
      <c r="L34" s="951" t="s">
        <v>843</v>
      </c>
      <c r="M34" s="952" t="s">
        <v>694</v>
      </c>
      <c r="N34" s="953">
        <f>'1. Отчет'!K50</f>
        <v>0</v>
      </c>
      <c r="BD34" s="970">
        <f ca="1">N(OFFSET(тИндидОТЧЕТ[[#This Row],[№]],-1,0))+1</f>
        <v>29</v>
      </c>
      <c r="BE34" s="971" t="str">
        <f t="shared" si="2"/>
        <v/>
      </c>
      <c r="BF34" s="972" t="str">
        <f t="shared" si="3"/>
        <v/>
      </c>
      <c r="BG34" s="973" t="str">
        <f t="shared" si="4"/>
        <v/>
      </c>
      <c r="BH34" s="973" t="str">
        <f t="shared" si="5"/>
        <v/>
      </c>
      <c r="BI34" s="973" t="str">
        <f t="shared" si="6"/>
        <v/>
      </c>
      <c r="BJ34" s="1036" t="str">
        <f t="shared" si="7"/>
        <v/>
      </c>
      <c r="BK34" s="1036">
        <f t="shared" si="8"/>
        <v>0</v>
      </c>
      <c r="BL34" s="1036">
        <f t="shared" si="9"/>
        <v>0</v>
      </c>
      <c r="BM34" s="974" t="str">
        <f t="shared" si="10"/>
        <v/>
      </c>
      <c r="BN34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34" s="976" t="str">
        <f t="shared" si="21"/>
        <v/>
      </c>
      <c r="BP34" s="976" t="str">
        <f t="shared" si="21"/>
        <v/>
      </c>
      <c r="BQ34" s="977" t="str">
        <f t="shared" si="21"/>
        <v/>
      </c>
      <c r="BR34" s="976" t="str">
        <f t="shared" si="21"/>
        <v/>
      </c>
      <c r="BS34" s="976" t="str">
        <f t="shared" si="21"/>
        <v/>
      </c>
      <c r="BT34" s="978" t="str">
        <f t="shared" si="21"/>
        <v/>
      </c>
      <c r="BU34" s="979" t="str">
        <f t="shared" si="11"/>
        <v>2020/2021</v>
      </c>
      <c r="BV34" s="456" t="str">
        <f t="shared" si="12"/>
        <v>Летен</v>
      </c>
      <c r="BW34" s="980" t="s">
        <v>872</v>
      </c>
      <c r="BX34" s="1011" t="s">
        <v>413</v>
      </c>
      <c r="BY34" s="982">
        <f>'1. Планд'!H55</f>
        <v>0</v>
      </c>
      <c r="BZ34" s="1007"/>
      <c r="CA34" s="982">
        <f>'1. Планд'!J55</f>
        <v>0</v>
      </c>
      <c r="CB34" s="1007"/>
      <c r="CC34" s="982">
        <f>'1. Планд'!L55</f>
        <v>0</v>
      </c>
      <c r="CD34" s="1027">
        <f t="shared" si="13"/>
        <v>0</v>
      </c>
      <c r="CE34" s="1028">
        <f t="shared" si="14"/>
        <v>0</v>
      </c>
      <c r="CF34" s="1029">
        <f t="shared" si="15"/>
        <v>0</v>
      </c>
      <c r="CG34" s="1027">
        <f t="shared" si="16"/>
        <v>0</v>
      </c>
      <c r="CH34" s="1028">
        <f t="shared" si="17"/>
        <v>0</v>
      </c>
    </row>
    <row r="35" spans="1:86" ht="15.75" thickBot="1" x14ac:dyDescent="0.3">
      <c r="A35" s="12" t="s">
        <v>299</v>
      </c>
      <c r="J35" s="1046"/>
      <c r="K35" s="919">
        <f t="shared" si="1"/>
        <v>34</v>
      </c>
      <c r="L35" s="927" t="s">
        <v>844</v>
      </c>
      <c r="M35" s="954" t="str">
        <f t="shared" ref="M35" si="24">M34</f>
        <v>Доктор</v>
      </c>
      <c r="N35" s="955">
        <f>'1. Отчет'!K51</f>
        <v>0</v>
      </c>
      <c r="BD35" s="970">
        <f ca="1">N(OFFSET(тИндидОТЧЕТ[[#This Row],[№]],-1,0))+1</f>
        <v>30</v>
      </c>
      <c r="BE35" s="971" t="str">
        <f t="shared" si="2"/>
        <v/>
      </c>
      <c r="BF35" s="972" t="str">
        <f t="shared" si="3"/>
        <v/>
      </c>
      <c r="BG35" s="973" t="str">
        <f t="shared" si="4"/>
        <v/>
      </c>
      <c r="BH35" s="973" t="str">
        <f t="shared" si="5"/>
        <v/>
      </c>
      <c r="BI35" s="973" t="str">
        <f t="shared" si="6"/>
        <v/>
      </c>
      <c r="BJ35" s="1036" t="str">
        <f t="shared" si="7"/>
        <v/>
      </c>
      <c r="BK35" s="1036">
        <f t="shared" si="8"/>
        <v>0</v>
      </c>
      <c r="BL35" s="1036">
        <f t="shared" si="9"/>
        <v>0</v>
      </c>
      <c r="BM35" s="974" t="str">
        <f t="shared" si="10"/>
        <v/>
      </c>
      <c r="BN35" s="975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35" s="976" t="str">
        <f t="shared" si="21"/>
        <v/>
      </c>
      <c r="BP35" s="976" t="str">
        <f t="shared" si="21"/>
        <v/>
      </c>
      <c r="BQ35" s="977" t="str">
        <f t="shared" si="21"/>
        <v/>
      </c>
      <c r="BR35" s="976" t="str">
        <f t="shared" si="21"/>
        <v/>
      </c>
      <c r="BS35" s="976" t="str">
        <f t="shared" si="21"/>
        <v/>
      </c>
      <c r="BT35" s="978" t="str">
        <f t="shared" si="21"/>
        <v/>
      </c>
      <c r="BU35" s="979" t="str">
        <f t="shared" si="11"/>
        <v>2020/2021</v>
      </c>
      <c r="BV35" s="456" t="str">
        <f t="shared" si="12"/>
        <v>Летен</v>
      </c>
      <c r="BW35" s="980" t="s">
        <v>872</v>
      </c>
      <c r="BX35" s="1011" t="s">
        <v>901</v>
      </c>
      <c r="BY35" s="982">
        <f>'1. Отчет'!H58</f>
        <v>0</v>
      </c>
      <c r="BZ35" s="1007"/>
      <c r="CA35" s="982">
        <f>'1. Отчет'!I58</f>
        <v>0</v>
      </c>
      <c r="CB35" s="1007"/>
      <c r="CC35" s="1006"/>
      <c r="CD35" s="1027">
        <f t="shared" si="13"/>
        <v>0</v>
      </c>
      <c r="CE35" s="1028">
        <f t="shared" si="14"/>
        <v>0</v>
      </c>
      <c r="CF35" s="1029">
        <f t="shared" si="15"/>
        <v>0</v>
      </c>
      <c r="CG35" s="1027">
        <f t="shared" si="16"/>
        <v>0</v>
      </c>
      <c r="CH35" s="1028">
        <f t="shared" si="17"/>
        <v>0</v>
      </c>
    </row>
    <row r="36" spans="1:86" ht="15.75" thickBot="1" x14ac:dyDescent="0.3">
      <c r="A36" s="12" t="s">
        <v>39</v>
      </c>
      <c r="J36" s="1046"/>
      <c r="K36" s="919">
        <f t="shared" si="1"/>
        <v>35</v>
      </c>
      <c r="L36" s="945" t="s">
        <v>845</v>
      </c>
      <c r="M36" s="946" t="s">
        <v>692</v>
      </c>
      <c r="N36" s="947">
        <f>'1. Отчет'!H58</f>
        <v>0</v>
      </c>
      <c r="BD36" s="1012">
        <f ca="1">N(OFFSET(тИндидОТЧЕТ[[#This Row],[№]],-1,0))+1</f>
        <v>31</v>
      </c>
      <c r="BE36" s="1013" t="str">
        <f t="shared" si="2"/>
        <v/>
      </c>
      <c r="BF36" s="1014" t="str">
        <f t="shared" si="3"/>
        <v/>
      </c>
      <c r="BG36" s="1015" t="str">
        <f t="shared" si="4"/>
        <v/>
      </c>
      <c r="BH36" s="1015" t="str">
        <f t="shared" si="5"/>
        <v/>
      </c>
      <c r="BI36" s="1015" t="str">
        <f t="shared" si="6"/>
        <v/>
      </c>
      <c r="BJ36" s="1037" t="str">
        <f t="shared" si="7"/>
        <v/>
      </c>
      <c r="BK36" s="1037">
        <f t="shared" si="8"/>
        <v>0</v>
      </c>
      <c r="BL36" s="1037">
        <f t="shared" si="9"/>
        <v>0</v>
      </c>
      <c r="BM36" s="1016" t="str">
        <f t="shared" si="10"/>
        <v/>
      </c>
      <c r="BN36" s="1017" t="b">
        <f>AND(тИндидОТЧЕТ[[#This Row],[аФакултет]]=тИндидОТЧЕТ[[#This Row],[Факултет]],тИндидОТЧЕТ[[#This Row],[аКатедра]]=тИндидОТЧЕТ[[#This Row],[Катедра]],тИндидОТЧЕТ[[#This Row],[аАкадДлъжност]]=тИндидОТЧЕТ[[#This Row],[акадДлъжност]],тИндидОТЧЕТ[[#This Row],[аРъкДлъжност]]=тИндидОТЧЕТ[[#This Row],[ръкДлъжност]],тИндидОТЧЕТ[[#This Row],[аПреподавател]]=тИндидОТЧЕТ[[#This Row],[Преподавател]])</f>
        <v>1</v>
      </c>
      <c r="BO36" s="1018" t="str">
        <f t="shared" si="21"/>
        <v/>
      </c>
      <c r="BP36" s="1018" t="str">
        <f t="shared" si="21"/>
        <v/>
      </c>
      <c r="BQ36" s="1019" t="str">
        <f t="shared" si="21"/>
        <v/>
      </c>
      <c r="BR36" s="1018" t="str">
        <f t="shared" si="21"/>
        <v/>
      </c>
      <c r="BS36" s="1018" t="str">
        <f t="shared" si="21"/>
        <v/>
      </c>
      <c r="BT36" s="1020" t="str">
        <f t="shared" si="21"/>
        <v/>
      </c>
      <c r="BU36" s="1021" t="str">
        <f t="shared" si="11"/>
        <v>2020/2021</v>
      </c>
      <c r="BV36" s="1022" t="str">
        <f t="shared" si="12"/>
        <v>Летен</v>
      </c>
      <c r="BW36" s="984" t="s">
        <v>872</v>
      </c>
      <c r="BX36" s="1023" t="s">
        <v>902</v>
      </c>
      <c r="BY36" s="986">
        <f>'1. Отчет'!H59</f>
        <v>0</v>
      </c>
      <c r="BZ36" s="1009"/>
      <c r="CA36" s="986">
        <f>'1. Отчет'!I59</f>
        <v>0</v>
      </c>
      <c r="CB36" s="1009"/>
      <c r="CC36" s="1008"/>
      <c r="CD36" s="1030">
        <f t="shared" si="13"/>
        <v>0</v>
      </c>
      <c r="CE36" s="1031">
        <f t="shared" si="14"/>
        <v>0</v>
      </c>
      <c r="CF36" s="1032">
        <f t="shared" si="15"/>
        <v>0</v>
      </c>
      <c r="CG36" s="1030">
        <f t="shared" si="16"/>
        <v>0</v>
      </c>
      <c r="CH36" s="1031">
        <f t="shared" si="17"/>
        <v>0</v>
      </c>
    </row>
    <row r="37" spans="1:86" x14ac:dyDescent="0.25">
      <c r="A37" s="12" t="s">
        <v>657</v>
      </c>
      <c r="J37" s="1046"/>
      <c r="K37" s="919">
        <f t="shared" si="1"/>
        <v>36</v>
      </c>
      <c r="L37" s="948" t="s">
        <v>846</v>
      </c>
      <c r="M37" s="949" t="str">
        <f>M36</f>
        <v>Бакалавър</v>
      </c>
      <c r="N37" s="950">
        <f>'1. Отчет'!H59</f>
        <v>0</v>
      </c>
    </row>
    <row r="38" spans="1:86" x14ac:dyDescent="0.25">
      <c r="A38" s="12" t="s">
        <v>35</v>
      </c>
      <c r="J38" s="1046"/>
      <c r="K38" s="919">
        <f t="shared" si="1"/>
        <v>37</v>
      </c>
      <c r="L38" s="921" t="s">
        <v>847</v>
      </c>
      <c r="M38" s="922" t="s">
        <v>693</v>
      </c>
      <c r="N38" s="923">
        <f>'1. Отчет'!K54</f>
        <v>0</v>
      </c>
    </row>
    <row r="39" spans="1:86" ht="15.75" thickBot="1" x14ac:dyDescent="0.3">
      <c r="A39" s="12" t="s">
        <v>29</v>
      </c>
      <c r="J39" s="1047"/>
      <c r="K39" s="920">
        <f t="shared" si="1"/>
        <v>38</v>
      </c>
      <c r="L39" s="948" t="s">
        <v>848</v>
      </c>
      <c r="M39" s="949" t="str">
        <f>M38</f>
        <v>Магистър</v>
      </c>
      <c r="N39" s="950">
        <f>'1. Отчет'!K55</f>
        <v>0</v>
      </c>
    </row>
    <row r="40" spans="1:86" x14ac:dyDescent="0.25">
      <c r="A40" s="12" t="s">
        <v>44</v>
      </c>
    </row>
    <row r="41" spans="1:86" x14ac:dyDescent="0.25">
      <c r="A41" s="17" t="s">
        <v>57</v>
      </c>
    </row>
    <row r="44" spans="1:86" x14ac:dyDescent="0.25">
      <c r="A44" s="13" t="s">
        <v>58</v>
      </c>
      <c r="B44" s="20" t="s">
        <v>59</v>
      </c>
    </row>
    <row r="45" spans="1:86" x14ac:dyDescent="0.25">
      <c r="A45" s="6" t="s">
        <v>60</v>
      </c>
      <c r="B45" s="18"/>
    </row>
    <row r="46" spans="1:86" x14ac:dyDescent="0.25">
      <c r="A46" s="6" t="s">
        <v>61</v>
      </c>
      <c r="B46" s="18"/>
    </row>
    <row r="47" spans="1:86" x14ac:dyDescent="0.25">
      <c r="A47" s="6" t="s">
        <v>62</v>
      </c>
      <c r="B47" s="18"/>
    </row>
    <row r="48" spans="1:86" x14ac:dyDescent="0.25">
      <c r="A48" s="6" t="s">
        <v>63</v>
      </c>
      <c r="B48" s="18"/>
    </row>
    <row r="49" spans="1:3" x14ac:dyDescent="0.25">
      <c r="A49" s="6" t="s">
        <v>64</v>
      </c>
      <c r="B49" s="18"/>
    </row>
    <row r="50" spans="1:3" x14ac:dyDescent="0.25">
      <c r="A50" s="9" t="s">
        <v>65</v>
      </c>
      <c r="B50" s="19"/>
    </row>
    <row r="52" spans="1:3" x14ac:dyDescent="0.25">
      <c r="A52" s="24" t="s">
        <v>90</v>
      </c>
      <c r="B52" s="24" t="s">
        <v>19</v>
      </c>
      <c r="C52" s="25"/>
    </row>
    <row r="53" spans="1:3" x14ac:dyDescent="0.25">
      <c r="A53" s="12" t="s">
        <v>76</v>
      </c>
      <c r="B53" s="12" t="s">
        <v>79</v>
      </c>
      <c r="C53" s="26"/>
    </row>
    <row r="54" spans="1:3" x14ac:dyDescent="0.25">
      <c r="A54" s="12" t="s">
        <v>77</v>
      </c>
      <c r="B54" s="12" t="s">
        <v>80</v>
      </c>
      <c r="C54" s="26"/>
    </row>
    <row r="55" spans="1:3" x14ac:dyDescent="0.25">
      <c r="A55" s="12" t="s">
        <v>78</v>
      </c>
      <c r="B55" s="12" t="s">
        <v>81</v>
      </c>
      <c r="C55" s="26"/>
    </row>
    <row r="56" spans="1:3" x14ac:dyDescent="0.25">
      <c r="A56" s="12" t="s">
        <v>82</v>
      </c>
      <c r="B56" s="12"/>
      <c r="C56" s="26"/>
    </row>
    <row r="58" spans="1:3" x14ac:dyDescent="0.25">
      <c r="A58" s="24" t="s">
        <v>91</v>
      </c>
      <c r="B58" s="124" t="s">
        <v>313</v>
      </c>
    </row>
    <row r="59" spans="1:3" x14ac:dyDescent="0.25">
      <c r="A59" s="12" t="s">
        <v>84</v>
      </c>
      <c r="B59" s="12">
        <v>1</v>
      </c>
    </row>
    <row r="60" spans="1:3" x14ac:dyDescent="0.25">
      <c r="A60" s="12" t="s">
        <v>83</v>
      </c>
      <c r="B60" s="12">
        <v>1.5</v>
      </c>
    </row>
    <row r="61" spans="1:3" x14ac:dyDescent="0.25">
      <c r="A61" s="12" t="s">
        <v>206</v>
      </c>
      <c r="B61" s="12">
        <v>1</v>
      </c>
    </row>
    <row r="62" spans="1:3" x14ac:dyDescent="0.25">
      <c r="A62" s="125"/>
    </row>
    <row r="63" spans="1:3" x14ac:dyDescent="0.25">
      <c r="A63" s="24" t="s">
        <v>92</v>
      </c>
      <c r="B63" s="124" t="s">
        <v>313</v>
      </c>
    </row>
    <row r="64" spans="1:3" x14ac:dyDescent="0.25">
      <c r="A64" s="12" t="s">
        <v>85</v>
      </c>
      <c r="B64" s="12"/>
    </row>
    <row r="65" spans="1:2" x14ac:dyDescent="0.25">
      <c r="A65" s="12" t="s">
        <v>86</v>
      </c>
      <c r="B65" s="12"/>
    </row>
    <row r="66" spans="1:2" x14ac:dyDescent="0.25">
      <c r="A66" s="12" t="s">
        <v>87</v>
      </c>
      <c r="B66" s="12"/>
    </row>
    <row r="67" spans="1:2" x14ac:dyDescent="0.25">
      <c r="A67" s="12" t="s">
        <v>89</v>
      </c>
      <c r="B67" s="12"/>
    </row>
    <row r="68" spans="1:2" x14ac:dyDescent="0.25">
      <c r="A68" s="15"/>
    </row>
    <row r="69" spans="1:2" x14ac:dyDescent="0.25">
      <c r="A69" s="559" t="s">
        <v>94</v>
      </c>
      <c r="B69" s="560" t="s">
        <v>313</v>
      </c>
    </row>
    <row r="70" spans="1:2" x14ac:dyDescent="0.25">
      <c r="A70" s="6">
        <v>5</v>
      </c>
      <c r="B70" s="8">
        <f>Coef!B15</f>
        <v>0.8</v>
      </c>
    </row>
    <row r="71" spans="1:2" x14ac:dyDescent="0.25">
      <c r="A71" s="6">
        <v>4</v>
      </c>
      <c r="B71" s="8">
        <f>Coef!B16</f>
        <v>0.6</v>
      </c>
    </row>
    <row r="72" spans="1:2" x14ac:dyDescent="0.25">
      <c r="A72" s="6">
        <v>3</v>
      </c>
      <c r="B72" s="8">
        <f>Coef!B17</f>
        <v>0.5</v>
      </c>
    </row>
    <row r="73" spans="1:2" x14ac:dyDescent="0.25">
      <c r="A73" s="6">
        <v>2</v>
      </c>
      <c r="B73" s="8">
        <f>Coef!B18</f>
        <v>0.3</v>
      </c>
    </row>
    <row r="74" spans="1:2" x14ac:dyDescent="0.25">
      <c r="A74" s="9">
        <v>1</v>
      </c>
      <c r="B74" s="11">
        <f>Coef!B19</f>
        <v>0.2</v>
      </c>
    </row>
    <row r="75" spans="1:2" x14ac:dyDescent="0.25">
      <c r="A75" s="9">
        <v>0</v>
      </c>
      <c r="B75" s="11">
        <v>0</v>
      </c>
    </row>
    <row r="77" spans="1:2" x14ac:dyDescent="0.25">
      <c r="A77" s="559" t="s">
        <v>93</v>
      </c>
      <c r="B77" s="560" t="s">
        <v>313</v>
      </c>
    </row>
    <row r="78" spans="1:2" x14ac:dyDescent="0.25">
      <c r="A78" s="6" t="s">
        <v>88</v>
      </c>
      <c r="B78" s="8">
        <f>Coef!B6</f>
        <v>0.6</v>
      </c>
    </row>
    <row r="79" spans="1:2" x14ac:dyDescent="0.25">
      <c r="A79" s="9" t="s">
        <v>181</v>
      </c>
      <c r="B79" s="11">
        <f>Coef!B7</f>
        <v>0.3</v>
      </c>
    </row>
    <row r="81" spans="1:3" x14ac:dyDescent="0.25">
      <c r="A81" s="562" t="s">
        <v>58</v>
      </c>
      <c r="B81" s="563" t="s">
        <v>59</v>
      </c>
      <c r="C81" s="564" t="s">
        <v>639</v>
      </c>
    </row>
    <row r="82" spans="1:3" ht="32.25" customHeight="1" x14ac:dyDescent="0.25">
      <c r="A82" s="31" t="s">
        <v>60</v>
      </c>
      <c r="B82" s="72" t="s">
        <v>159</v>
      </c>
      <c r="C82" s="561">
        <v>0</v>
      </c>
    </row>
    <row r="83" spans="1:3" ht="60" x14ac:dyDescent="0.25">
      <c r="A83" s="31" t="s">
        <v>61</v>
      </c>
      <c r="B83" s="72" t="s">
        <v>160</v>
      </c>
      <c r="C83" s="561">
        <v>0.75</v>
      </c>
    </row>
    <row r="84" spans="1:3" ht="60" x14ac:dyDescent="0.25">
      <c r="A84" s="31" t="s">
        <v>62</v>
      </c>
      <c r="B84" s="72" t="s">
        <v>161</v>
      </c>
      <c r="C84" s="561">
        <v>0.5</v>
      </c>
    </row>
    <row r="85" spans="1:3" ht="60" x14ac:dyDescent="0.25">
      <c r="A85" s="31" t="s">
        <v>63</v>
      </c>
      <c r="B85" s="72" t="s">
        <v>162</v>
      </c>
      <c r="C85" s="561">
        <v>0.4</v>
      </c>
    </row>
    <row r="86" spans="1:3" ht="60" x14ac:dyDescent="0.25">
      <c r="A86" s="31" t="s">
        <v>64</v>
      </c>
      <c r="B86" s="72" t="s">
        <v>163</v>
      </c>
      <c r="C86" s="561">
        <v>0.25</v>
      </c>
    </row>
    <row r="87" spans="1:3" ht="45" x14ac:dyDescent="0.25">
      <c r="A87" s="32" t="s">
        <v>65</v>
      </c>
      <c r="B87" s="73" t="s">
        <v>159</v>
      </c>
      <c r="C87" s="561">
        <v>0</v>
      </c>
    </row>
    <row r="89" spans="1:3" ht="15.75" thickBot="1" x14ac:dyDescent="0.3"/>
    <row r="90" spans="1:3" ht="15.75" thickBot="1" x14ac:dyDescent="0.3">
      <c r="A90" s="67" t="s">
        <v>137</v>
      </c>
      <c r="C90" s="67" t="s">
        <v>134</v>
      </c>
    </row>
    <row r="91" spans="1:3" x14ac:dyDescent="0.25">
      <c r="A91" s="68" t="s">
        <v>138</v>
      </c>
      <c r="C91" s="68" t="s">
        <v>139</v>
      </c>
    </row>
    <row r="92" spans="1:3" x14ac:dyDescent="0.25">
      <c r="A92" s="64" t="s">
        <v>668</v>
      </c>
      <c r="C92" s="64" t="s">
        <v>140</v>
      </c>
    </row>
    <row r="93" spans="1:3" ht="15.75" thickBot="1" x14ac:dyDescent="0.3">
      <c r="A93" s="65" t="s">
        <v>170</v>
      </c>
      <c r="C93" s="65" t="s">
        <v>141</v>
      </c>
    </row>
    <row r="94" spans="1:3" ht="15.75" thickBot="1" x14ac:dyDescent="0.3"/>
    <row r="95" spans="1:3" ht="15.75" thickBot="1" x14ac:dyDescent="0.3">
      <c r="A95" s="67" t="s">
        <v>136</v>
      </c>
    </row>
    <row r="96" spans="1:3" x14ac:dyDescent="0.25">
      <c r="A96" s="66" t="s">
        <v>149</v>
      </c>
    </row>
    <row r="97" spans="1:3" ht="15.75" thickBot="1" x14ac:dyDescent="0.3">
      <c r="A97" s="65" t="s">
        <v>150</v>
      </c>
    </row>
    <row r="100" spans="1:3" x14ac:dyDescent="0.25">
      <c r="A100" s="88" t="s">
        <v>210</v>
      </c>
      <c r="B100" s="88" t="s">
        <v>214</v>
      </c>
      <c r="C100" s="96" t="s">
        <v>131</v>
      </c>
    </row>
    <row r="101" spans="1:3" ht="16.5" x14ac:dyDescent="0.25">
      <c r="A101" s="87" t="s">
        <v>215</v>
      </c>
      <c r="B101" s="87" t="s">
        <v>218</v>
      </c>
      <c r="C101" s="94"/>
    </row>
    <row r="102" spans="1:3" ht="16.5" x14ac:dyDescent="0.25">
      <c r="A102" s="87" t="s">
        <v>216</v>
      </c>
      <c r="B102" s="87" t="s">
        <v>219</v>
      </c>
      <c r="C102" s="93"/>
    </row>
    <row r="103" spans="1:3" ht="16.5" x14ac:dyDescent="0.25">
      <c r="A103" s="89" t="s">
        <v>217</v>
      </c>
      <c r="B103" s="89" t="s">
        <v>220</v>
      </c>
      <c r="C103" s="93"/>
    </row>
    <row r="104" spans="1:3" ht="16.5" x14ac:dyDescent="0.25">
      <c r="A104" s="89" t="s">
        <v>221</v>
      </c>
      <c r="B104" s="89" t="s">
        <v>225</v>
      </c>
      <c r="C104" s="93"/>
    </row>
    <row r="105" spans="1:3" ht="16.5" x14ac:dyDescent="0.25">
      <c r="A105" s="89" t="s">
        <v>222</v>
      </c>
      <c r="B105" s="89" t="s">
        <v>226</v>
      </c>
      <c r="C105" s="93"/>
    </row>
    <row r="106" spans="1:3" ht="16.5" x14ac:dyDescent="0.25">
      <c r="A106" s="89" t="s">
        <v>223</v>
      </c>
      <c r="B106" s="89" t="s">
        <v>227</v>
      </c>
      <c r="C106" s="93"/>
    </row>
    <row r="107" spans="1:3" ht="16.5" x14ac:dyDescent="0.25">
      <c r="A107" s="89" t="s">
        <v>224</v>
      </c>
      <c r="B107" s="89" t="s">
        <v>228</v>
      </c>
      <c r="C107" s="93"/>
    </row>
    <row r="108" spans="1:3" ht="16.5" x14ac:dyDescent="0.25">
      <c r="A108" s="90" t="s">
        <v>229</v>
      </c>
      <c r="B108" s="89" t="s">
        <v>238</v>
      </c>
      <c r="C108" s="93"/>
    </row>
    <row r="109" spans="1:3" ht="16.5" x14ac:dyDescent="0.25">
      <c r="A109" s="89" t="s">
        <v>230</v>
      </c>
      <c r="B109" s="89" t="s">
        <v>239</v>
      </c>
      <c r="C109" s="93"/>
    </row>
    <row r="110" spans="1:3" ht="16.5" x14ac:dyDescent="0.25">
      <c r="A110" s="90" t="s">
        <v>231</v>
      </c>
      <c r="B110" s="89" t="s">
        <v>240</v>
      </c>
      <c r="C110" s="93"/>
    </row>
    <row r="111" spans="1:3" ht="16.5" x14ac:dyDescent="0.25">
      <c r="A111" s="89" t="s">
        <v>232</v>
      </c>
      <c r="B111" s="89" t="s">
        <v>241</v>
      </c>
      <c r="C111" s="93"/>
    </row>
    <row r="112" spans="1:3" ht="16.5" x14ac:dyDescent="0.25">
      <c r="A112" s="89" t="s">
        <v>233</v>
      </c>
      <c r="B112" s="89" t="s">
        <v>242</v>
      </c>
      <c r="C112" s="93"/>
    </row>
    <row r="113" spans="1:3" ht="16.5" x14ac:dyDescent="0.25">
      <c r="A113" s="89" t="s">
        <v>234</v>
      </c>
      <c r="B113" s="89" t="s">
        <v>243</v>
      </c>
      <c r="C113" s="93"/>
    </row>
    <row r="114" spans="1:3" ht="16.5" x14ac:dyDescent="0.25">
      <c r="A114" s="89" t="s">
        <v>235</v>
      </c>
      <c r="B114" s="89" t="s">
        <v>244</v>
      </c>
      <c r="C114" s="93"/>
    </row>
    <row r="115" spans="1:3" ht="16.5" x14ac:dyDescent="0.25">
      <c r="A115" s="89" t="s">
        <v>236</v>
      </c>
      <c r="B115" s="89" t="s">
        <v>245</v>
      </c>
      <c r="C115" s="93"/>
    </row>
    <row r="116" spans="1:3" ht="16.5" x14ac:dyDescent="0.25">
      <c r="A116" s="89" t="s">
        <v>237</v>
      </c>
      <c r="B116" s="89" t="s">
        <v>246</v>
      </c>
      <c r="C116" s="93"/>
    </row>
    <row r="117" spans="1:3" ht="16.5" x14ac:dyDescent="0.25">
      <c r="A117" s="89" t="s">
        <v>247</v>
      </c>
      <c r="B117" s="89" t="s">
        <v>253</v>
      </c>
      <c r="C117" s="93"/>
    </row>
    <row r="118" spans="1:3" ht="16.5" x14ac:dyDescent="0.25">
      <c r="A118" s="89" t="s">
        <v>248</v>
      </c>
      <c r="B118" s="89" t="s">
        <v>254</v>
      </c>
      <c r="C118" s="93"/>
    </row>
    <row r="119" spans="1:3" ht="16.5" x14ac:dyDescent="0.25">
      <c r="A119" s="89" t="s">
        <v>249</v>
      </c>
      <c r="B119" s="89" t="s">
        <v>255</v>
      </c>
      <c r="C119" s="93"/>
    </row>
    <row r="120" spans="1:3" ht="16.5" x14ac:dyDescent="0.25">
      <c r="A120" s="89" t="s">
        <v>250</v>
      </c>
      <c r="B120" s="89" t="s">
        <v>256</v>
      </c>
      <c r="C120" s="93"/>
    </row>
    <row r="121" spans="1:3" ht="16.5" x14ac:dyDescent="0.25">
      <c r="A121" s="89" t="s">
        <v>251</v>
      </c>
      <c r="B121" s="89" t="s">
        <v>257</v>
      </c>
      <c r="C121" s="93"/>
    </row>
    <row r="122" spans="1:3" ht="16.5" x14ac:dyDescent="0.25">
      <c r="A122" s="89" t="s">
        <v>252</v>
      </c>
      <c r="B122" s="89" t="s">
        <v>258</v>
      </c>
      <c r="C122" s="93"/>
    </row>
    <row r="123" spans="1:3" ht="49.5" x14ac:dyDescent="0.25">
      <c r="A123" s="93" t="s">
        <v>291</v>
      </c>
      <c r="B123" s="93" t="s">
        <v>292</v>
      </c>
      <c r="C123" s="93" t="s">
        <v>293</v>
      </c>
    </row>
    <row r="124" spans="1:3" ht="16.5" x14ac:dyDescent="0.25">
      <c r="A124" s="89" t="s">
        <v>259</v>
      </c>
      <c r="B124" s="89" t="s">
        <v>268</v>
      </c>
      <c r="C124" s="93"/>
    </row>
    <row r="125" spans="1:3" ht="16.5" x14ac:dyDescent="0.25">
      <c r="A125" s="89" t="s">
        <v>260</v>
      </c>
      <c r="B125" s="91" t="s">
        <v>269</v>
      </c>
      <c r="C125" s="93"/>
    </row>
    <row r="126" spans="1:3" ht="16.5" x14ac:dyDescent="0.25">
      <c r="A126" s="89" t="s">
        <v>261</v>
      </c>
      <c r="B126" s="91" t="s">
        <v>270</v>
      </c>
      <c r="C126" s="93"/>
    </row>
    <row r="127" spans="1:3" ht="16.5" x14ac:dyDescent="0.25">
      <c r="A127" s="89" t="s">
        <v>262</v>
      </c>
      <c r="B127" s="91" t="s">
        <v>271</v>
      </c>
      <c r="C127" s="93"/>
    </row>
    <row r="128" spans="1:3" ht="16.5" x14ac:dyDescent="0.25">
      <c r="A128" s="89" t="s">
        <v>263</v>
      </c>
      <c r="B128" s="89" t="s">
        <v>272</v>
      </c>
      <c r="C128" s="93"/>
    </row>
    <row r="129" spans="1:3" ht="16.5" x14ac:dyDescent="0.25">
      <c r="A129" s="89" t="s">
        <v>264</v>
      </c>
      <c r="B129" s="89" t="s">
        <v>273</v>
      </c>
      <c r="C129" s="93"/>
    </row>
    <row r="130" spans="1:3" ht="16.5" x14ac:dyDescent="0.25">
      <c r="A130" s="89" t="s">
        <v>265</v>
      </c>
      <c r="B130" s="89" t="s">
        <v>274</v>
      </c>
      <c r="C130" s="93"/>
    </row>
    <row r="131" spans="1:3" ht="16.5" x14ac:dyDescent="0.25">
      <c r="A131" s="89" t="s">
        <v>266</v>
      </c>
      <c r="B131" s="89" t="s">
        <v>275</v>
      </c>
      <c r="C131" s="93"/>
    </row>
    <row r="132" spans="1:3" ht="16.5" x14ac:dyDescent="0.25">
      <c r="A132" s="89" t="s">
        <v>267</v>
      </c>
      <c r="B132" s="89" t="s">
        <v>276</v>
      </c>
      <c r="C132" s="93"/>
    </row>
    <row r="133" spans="1:3" ht="16.5" x14ac:dyDescent="0.25">
      <c r="A133" s="89" t="s">
        <v>277</v>
      </c>
      <c r="B133" s="89" t="s">
        <v>282</v>
      </c>
      <c r="C133" s="93"/>
    </row>
    <row r="134" spans="1:3" ht="16.5" x14ac:dyDescent="0.25">
      <c r="A134" s="89" t="s">
        <v>278</v>
      </c>
      <c r="B134" s="89" t="s">
        <v>283</v>
      </c>
      <c r="C134" s="93"/>
    </row>
    <row r="135" spans="1:3" ht="16.5" x14ac:dyDescent="0.25">
      <c r="A135" s="89" t="s">
        <v>279</v>
      </c>
      <c r="B135" s="89" t="s">
        <v>284</v>
      </c>
      <c r="C135" s="93"/>
    </row>
    <row r="136" spans="1:3" ht="16.5" x14ac:dyDescent="0.25">
      <c r="A136" s="89" t="s">
        <v>280</v>
      </c>
      <c r="B136" s="89" t="s">
        <v>285</v>
      </c>
      <c r="C136" s="93"/>
    </row>
    <row r="137" spans="1:3" ht="16.5" x14ac:dyDescent="0.25">
      <c r="A137" s="89" t="s">
        <v>281</v>
      </c>
      <c r="B137" s="89" t="s">
        <v>286</v>
      </c>
      <c r="C137" s="93"/>
    </row>
    <row r="138" spans="1:3" ht="16.5" x14ac:dyDescent="0.25">
      <c r="A138" s="90" t="s">
        <v>287</v>
      </c>
      <c r="B138" s="90" t="s">
        <v>289</v>
      </c>
      <c r="C138" s="93"/>
    </row>
    <row r="139" spans="1:3" ht="16.5" x14ac:dyDescent="0.25">
      <c r="A139" s="92" t="s">
        <v>288</v>
      </c>
      <c r="B139" s="92" t="s">
        <v>290</v>
      </c>
      <c r="C139" s="95"/>
    </row>
  </sheetData>
  <mergeCells count="10">
    <mergeCell ref="BO3:BT4"/>
    <mergeCell ref="BU3:BW4"/>
    <mergeCell ref="BX3:CH3"/>
    <mergeCell ref="BX4:CC4"/>
    <mergeCell ref="CD4:CH4"/>
    <mergeCell ref="BD3:BM4"/>
    <mergeCell ref="BN3:BN4"/>
    <mergeCell ref="J17:J28"/>
    <mergeCell ref="J2:J16"/>
    <mergeCell ref="J29:J39"/>
  </mergeCells>
  <phoneticPr fontId="123" type="noConversion"/>
  <conditionalFormatting sqref="L2:L39">
    <cfRule type="duplicateValues" dxfId="942" priority="53"/>
  </conditionalFormatting>
  <pageMargins left="0.7" right="0.7" top="0.75" bottom="0.75" header="0.3" footer="0.3"/>
  <pageSetup orientation="portrait" r:id="rId1"/>
  <ignoredErrors>
    <ignoredError sqref="M13:M39 BY6:CH36 M2:M9" calculatedColumn="1"/>
  </ignoredErrors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5050"/>
    <pageSetUpPr fitToPage="1"/>
  </sheetPr>
  <dimension ref="A2:AA42"/>
  <sheetViews>
    <sheetView workbookViewId="0">
      <selection activeCell="B53" sqref="B53"/>
    </sheetView>
  </sheetViews>
  <sheetFormatPr defaultRowHeight="15" x14ac:dyDescent="0.25"/>
  <cols>
    <col min="1" max="1" width="44.85546875" customWidth="1"/>
    <col min="4" max="4" width="10.140625" customWidth="1"/>
    <col min="5" max="5" width="38.28515625" bestFit="1" customWidth="1"/>
    <col min="6" max="7" width="14.5703125" customWidth="1"/>
    <col min="9" max="9" width="18.140625" bestFit="1" customWidth="1"/>
    <col min="10" max="10" width="42.28515625" bestFit="1" customWidth="1"/>
    <col min="11" max="11" width="11" bestFit="1" customWidth="1"/>
    <col min="12" max="12" width="41.7109375" bestFit="1" customWidth="1"/>
    <col min="14" max="14" width="5.5703125" bestFit="1" customWidth="1"/>
    <col min="15" max="15" width="31.7109375" customWidth="1"/>
    <col min="16" max="16" width="28.140625" bestFit="1" customWidth="1"/>
    <col min="17" max="17" width="6.42578125" bestFit="1" customWidth="1"/>
    <col min="18" max="18" width="8.42578125" bestFit="1" customWidth="1"/>
    <col min="19" max="19" width="9.28515625" bestFit="1" customWidth="1"/>
    <col min="23" max="23" width="5.5703125" bestFit="1" customWidth="1"/>
    <col min="24" max="24" width="18.85546875" bestFit="1" customWidth="1"/>
    <col min="25" max="25" width="21.42578125" customWidth="1"/>
    <col min="26" max="26" width="24.7109375" bestFit="1" customWidth="1"/>
  </cols>
  <sheetData>
    <row r="2" spans="1:27" x14ac:dyDescent="0.25">
      <c r="A2" s="27" t="s">
        <v>100</v>
      </c>
      <c r="B2" s="28"/>
      <c r="E2" t="s">
        <v>211</v>
      </c>
    </row>
    <row r="3" spans="1:27" x14ac:dyDescent="0.25">
      <c r="A3" s="12" t="s">
        <v>187</v>
      </c>
      <c r="B3" s="12">
        <v>1</v>
      </c>
      <c r="I3" t="s">
        <v>319</v>
      </c>
      <c r="J3" s="12" t="s">
        <v>319</v>
      </c>
      <c r="K3" s="12">
        <v>1</v>
      </c>
      <c r="L3" t="s">
        <v>342</v>
      </c>
      <c r="N3" s="453" t="s">
        <v>580</v>
      </c>
      <c r="O3" s="453" t="s">
        <v>581</v>
      </c>
      <c r="P3" s="452" t="s">
        <v>562</v>
      </c>
      <c r="Q3" s="457" t="s">
        <v>570</v>
      </c>
      <c r="R3" s="457" t="s">
        <v>554</v>
      </c>
      <c r="S3" s="525" t="s">
        <v>571</v>
      </c>
      <c r="W3" t="s">
        <v>580</v>
      </c>
      <c r="X3" t="s">
        <v>121</v>
      </c>
      <c r="Y3" t="s">
        <v>90</v>
      </c>
      <c r="Z3" t="s">
        <v>757</v>
      </c>
      <c r="AA3" t="s">
        <v>313</v>
      </c>
    </row>
    <row r="4" spans="1:27" ht="30" customHeight="1" x14ac:dyDescent="0.25">
      <c r="A4" s="12" t="s">
        <v>188</v>
      </c>
      <c r="B4" s="12">
        <v>2</v>
      </c>
      <c r="E4" s="1058" t="s">
        <v>91</v>
      </c>
      <c r="F4" s="1059"/>
      <c r="G4" s="438"/>
      <c r="I4" t="s">
        <v>334</v>
      </c>
      <c r="J4" s="12" t="s">
        <v>334</v>
      </c>
      <c r="K4" s="12">
        <v>2</v>
      </c>
      <c r="L4" s="12" t="s">
        <v>320</v>
      </c>
      <c r="N4" s="456">
        <f ca="1">N(OFFSET(T_Практики[[#This Row],[№]],-1,0))+1</f>
        <v>1</v>
      </c>
      <c r="O4" s="454" t="s">
        <v>596</v>
      </c>
      <c r="P4" s="443" t="s">
        <v>589</v>
      </c>
      <c r="Q4" s="455">
        <v>30</v>
      </c>
      <c r="R4" s="455">
        <v>1</v>
      </c>
      <c r="S4" s="456"/>
      <c r="U4" t="s">
        <v>582</v>
      </c>
      <c r="W4" s="807">
        <v>1</v>
      </c>
      <c r="X4" s="75" t="s">
        <v>138</v>
      </c>
      <c r="Y4" s="808" t="s">
        <v>76</v>
      </c>
      <c r="Z4" s="808" t="str">
        <f>T_ПодгКурс[[#This Row],[Дейност]]&amp;"|"&amp;T_ПодгКурс[[#This Row],[Форма на обучение]]</f>
        <v>нов курс|р.об.</v>
      </c>
      <c r="AA4" s="456">
        <v>2</v>
      </c>
    </row>
    <row r="5" spans="1:27" ht="30" customHeight="1" x14ac:dyDescent="0.25">
      <c r="A5" s="12" t="s">
        <v>184</v>
      </c>
      <c r="B5" s="12">
        <v>1.5</v>
      </c>
      <c r="C5" s="76"/>
      <c r="D5" s="76"/>
      <c r="E5" t="s">
        <v>21</v>
      </c>
      <c r="F5" t="s">
        <v>313</v>
      </c>
      <c r="H5" s="76"/>
      <c r="I5" s="76" t="s">
        <v>84</v>
      </c>
      <c r="J5" s="12" t="s">
        <v>345</v>
      </c>
      <c r="K5" s="12">
        <v>1</v>
      </c>
      <c r="L5" s="12" t="s">
        <v>344</v>
      </c>
      <c r="N5" s="456">
        <f ca="1">N(OFFSET(T_Практики[[#This Row],[№]],-1,0))+1</f>
        <v>2</v>
      </c>
      <c r="O5" s="454" t="s">
        <v>597</v>
      </c>
      <c r="P5" s="443" t="s">
        <v>627</v>
      </c>
      <c r="Q5" s="455">
        <v>60</v>
      </c>
      <c r="R5" s="455">
        <v>1</v>
      </c>
      <c r="S5" s="456"/>
      <c r="U5" t="s">
        <v>582</v>
      </c>
      <c r="W5" s="807">
        <v>2</v>
      </c>
      <c r="X5" s="75" t="s">
        <v>138</v>
      </c>
      <c r="Y5" s="808" t="s">
        <v>77</v>
      </c>
      <c r="Z5" s="808" t="str">
        <f>T_ПодгКурс[[#This Row],[Дейност]]&amp;"|"&amp;T_ПодгКурс[[#This Row],[Форма на обучение]]</f>
        <v>нов курс|з.об.</v>
      </c>
      <c r="AA5" s="456">
        <v>2</v>
      </c>
    </row>
    <row r="6" spans="1:27" ht="30" customHeight="1" x14ac:dyDescent="0.25">
      <c r="A6" s="12" t="s">
        <v>96</v>
      </c>
      <c r="B6" s="12">
        <v>0.6</v>
      </c>
      <c r="E6" t="s">
        <v>84</v>
      </c>
      <c r="F6">
        <v>1</v>
      </c>
      <c r="I6" t="s">
        <v>353</v>
      </c>
      <c r="J6" s="12" t="s">
        <v>343</v>
      </c>
      <c r="K6" s="12">
        <v>1.5</v>
      </c>
      <c r="L6" s="12" t="s">
        <v>184</v>
      </c>
      <c r="N6" s="456">
        <f ca="1">N(OFFSET(T_Практики[[#This Row],[№]],-1,0))+1</f>
        <v>3</v>
      </c>
      <c r="O6" s="454" t="s">
        <v>595</v>
      </c>
      <c r="P6" s="443" t="s">
        <v>572</v>
      </c>
      <c r="Q6" s="455">
        <v>3</v>
      </c>
      <c r="R6" s="455">
        <v>1</v>
      </c>
      <c r="S6" s="456">
        <v>1</v>
      </c>
      <c r="U6" t="s">
        <v>583</v>
      </c>
      <c r="W6" s="807">
        <v>3</v>
      </c>
      <c r="X6" s="75" t="s">
        <v>138</v>
      </c>
      <c r="Y6" s="808" t="s">
        <v>78</v>
      </c>
      <c r="Z6" s="808" t="str">
        <f>T_ПодгКурс[[#This Row],[Дейност]]&amp;"|"&amp;T_ПодгКурс[[#This Row],[Форма на обучение]]</f>
        <v>нов курс|д.об.</v>
      </c>
      <c r="AA6" s="456">
        <v>2</v>
      </c>
    </row>
    <row r="7" spans="1:27" ht="30" customHeight="1" x14ac:dyDescent="0.25">
      <c r="A7" s="12" t="s">
        <v>183</v>
      </c>
      <c r="B7" s="12">
        <v>0.3</v>
      </c>
      <c r="E7" t="s">
        <v>83</v>
      </c>
      <c r="F7">
        <f>B5</f>
        <v>1.5</v>
      </c>
      <c r="I7" t="s">
        <v>355</v>
      </c>
      <c r="J7" s="12" t="s">
        <v>321</v>
      </c>
      <c r="K7" s="12">
        <v>0.6</v>
      </c>
      <c r="N7" s="456">
        <f ca="1">N(OFFSET(T_Практики[[#This Row],[№]],-1,0))+1</f>
        <v>4</v>
      </c>
      <c r="O7" s="454" t="s">
        <v>594</v>
      </c>
      <c r="P7" s="443" t="s">
        <v>690</v>
      </c>
      <c r="Q7" s="455">
        <v>3</v>
      </c>
      <c r="R7" s="455">
        <v>1</v>
      </c>
      <c r="S7" s="456"/>
      <c r="U7" t="s">
        <v>582</v>
      </c>
      <c r="W7" s="807">
        <v>4</v>
      </c>
      <c r="X7" s="75" t="s">
        <v>668</v>
      </c>
      <c r="Y7" s="808" t="s">
        <v>76</v>
      </c>
      <c r="Z7" s="808" t="str">
        <f>T_ПодгКурс[[#This Row],[Дейност]]&amp;"|"&amp;T_ПодгКурс[[#This Row],[Форма на обучение]]</f>
        <v>ел. учебни ресурси|р.об.</v>
      </c>
      <c r="AA7" s="456">
        <v>3</v>
      </c>
    </row>
    <row r="8" spans="1:27" ht="30" customHeight="1" x14ac:dyDescent="0.25">
      <c r="A8" s="12" t="s">
        <v>192</v>
      </c>
      <c r="B8" s="12">
        <v>0.9</v>
      </c>
      <c r="E8" t="s">
        <v>206</v>
      </c>
      <c r="F8">
        <v>1</v>
      </c>
      <c r="I8" t="s">
        <v>354</v>
      </c>
      <c r="J8" s="12" t="s">
        <v>322</v>
      </c>
      <c r="K8" s="12">
        <v>0.3</v>
      </c>
      <c r="N8" s="456">
        <f ca="1">N(OFFSET(T_Практики[[#This Row],[№]],-1,0))+1</f>
        <v>5</v>
      </c>
      <c r="O8" s="454" t="s">
        <v>593</v>
      </c>
      <c r="P8" s="443" t="s">
        <v>563</v>
      </c>
      <c r="Q8" s="455">
        <v>4</v>
      </c>
      <c r="R8" s="455"/>
      <c r="S8" s="456">
        <v>1</v>
      </c>
      <c r="U8" t="s">
        <v>584</v>
      </c>
      <c r="W8" s="807">
        <v>5</v>
      </c>
      <c r="X8" s="75" t="s">
        <v>668</v>
      </c>
      <c r="Y8" s="808" t="s">
        <v>77</v>
      </c>
      <c r="Z8" s="808" t="str">
        <f>T_ПодгКурс[[#This Row],[Дейност]]&amp;"|"&amp;T_ПодгКурс[[#This Row],[Форма на обучение]]</f>
        <v>ел. учебни ресурси|з.об.</v>
      </c>
      <c r="AA8" s="456">
        <v>3</v>
      </c>
    </row>
    <row r="9" spans="1:27" ht="30" customHeight="1" x14ac:dyDescent="0.25">
      <c r="A9" s="17" t="s">
        <v>129</v>
      </c>
      <c r="B9" s="17">
        <v>0.5</v>
      </c>
      <c r="J9" s="12" t="s">
        <v>192</v>
      </c>
      <c r="K9" s="12">
        <v>0.9</v>
      </c>
      <c r="N9" s="456">
        <f ca="1">N(OFFSET(T_Практики[[#This Row],[№]],-1,0))+1</f>
        <v>6</v>
      </c>
      <c r="O9" s="454" t="s">
        <v>574</v>
      </c>
      <c r="P9" s="443" t="s">
        <v>564</v>
      </c>
      <c r="Q9" s="455">
        <v>4</v>
      </c>
      <c r="R9" s="455"/>
      <c r="S9" s="456">
        <v>1</v>
      </c>
      <c r="U9" t="s">
        <v>584</v>
      </c>
      <c r="W9" s="807">
        <v>6</v>
      </c>
      <c r="X9" s="75" t="s">
        <v>668</v>
      </c>
      <c r="Y9" s="808" t="s">
        <v>78</v>
      </c>
      <c r="Z9" s="808" t="str">
        <f>T_ПодгКурс[[#This Row],[Дейност]]&amp;"|"&amp;T_ПодгКурс[[#This Row],[Форма на обучение]]</f>
        <v>ел. учебни ресурси|д.об.</v>
      </c>
      <c r="AA9" s="456">
        <v>4</v>
      </c>
    </row>
    <row r="10" spans="1:27" ht="30" customHeight="1" x14ac:dyDescent="0.25">
      <c r="A10" s="17" t="s">
        <v>130</v>
      </c>
      <c r="B10" s="17">
        <v>0.5</v>
      </c>
      <c r="E10" s="1060" t="s">
        <v>331</v>
      </c>
      <c r="F10" s="1060"/>
      <c r="G10" s="439"/>
      <c r="I10" t="s">
        <v>357</v>
      </c>
      <c r="J10" s="17" t="s">
        <v>346</v>
      </c>
      <c r="K10" s="17">
        <v>0.5</v>
      </c>
      <c r="L10" s="17" t="s">
        <v>346</v>
      </c>
      <c r="N10" s="456">
        <f ca="1">N(OFFSET(T_Практики[[#This Row],[№]],-1,0))+1</f>
        <v>7</v>
      </c>
      <c r="O10" s="454" t="s">
        <v>573</v>
      </c>
      <c r="P10" s="443" t="s">
        <v>565</v>
      </c>
      <c r="Q10" s="455">
        <v>4</v>
      </c>
      <c r="R10" s="455"/>
      <c r="S10" s="456">
        <v>1</v>
      </c>
      <c r="U10" t="s">
        <v>584</v>
      </c>
      <c r="W10" s="807">
        <v>7</v>
      </c>
      <c r="X10" s="75" t="s">
        <v>170</v>
      </c>
      <c r="Y10" s="808" t="s">
        <v>76</v>
      </c>
      <c r="Z10" s="808" t="str">
        <f>T_ПодгКурс[[#This Row],[Дейност]]&amp;"|"&amp;T_ПодгКурс[[#This Row],[Форма на обучение]]</f>
        <v>актуализация|р.об.</v>
      </c>
      <c r="AA10" s="456">
        <v>1</v>
      </c>
    </row>
    <row r="11" spans="1:27" x14ac:dyDescent="0.25">
      <c r="A11" s="17" t="s">
        <v>97</v>
      </c>
      <c r="B11" s="17">
        <v>5</v>
      </c>
      <c r="E11" s="158" t="s">
        <v>90</v>
      </c>
      <c r="F11" t="s">
        <v>313</v>
      </c>
      <c r="I11" t="s">
        <v>356</v>
      </c>
      <c r="J11" s="17" t="s">
        <v>347</v>
      </c>
      <c r="K11" s="17">
        <v>0.5</v>
      </c>
      <c r="L11" s="17" t="s">
        <v>347</v>
      </c>
      <c r="W11" s="807">
        <v>8</v>
      </c>
      <c r="X11" s="75" t="s">
        <v>170</v>
      </c>
      <c r="Y11" s="808" t="s">
        <v>77</v>
      </c>
      <c r="Z11" s="808" t="str">
        <f>T_ПодгКурс[[#This Row],[Дейност]]&amp;"|"&amp;T_ПодгКурс[[#This Row],[Форма на обучение]]</f>
        <v>актуализация|з.об.</v>
      </c>
      <c r="AA11" s="456">
        <v>1</v>
      </c>
    </row>
    <row r="12" spans="1:27" x14ac:dyDescent="0.25">
      <c r="A12" s="17" t="s">
        <v>98</v>
      </c>
      <c r="B12" s="17">
        <v>30</v>
      </c>
      <c r="E12" s="6" t="s">
        <v>76</v>
      </c>
      <c r="F12">
        <f>B9</f>
        <v>0.5</v>
      </c>
      <c r="I12" t="s">
        <v>358</v>
      </c>
      <c r="J12" s="17" t="s">
        <v>348</v>
      </c>
      <c r="K12" s="17">
        <v>0.5</v>
      </c>
      <c r="L12" s="17" t="s">
        <v>348</v>
      </c>
      <c r="W12" s="807">
        <v>9</v>
      </c>
      <c r="X12" s="75" t="s">
        <v>170</v>
      </c>
      <c r="Y12" s="808" t="s">
        <v>78</v>
      </c>
      <c r="Z12" s="808" t="str">
        <f>T_ПодгКурс[[#This Row],[Дейност]]&amp;"|"&amp;T_ПодгКурс[[#This Row],[Форма на обучение]]</f>
        <v>актуализация|д.об.</v>
      </c>
      <c r="AA12" s="456">
        <v>2</v>
      </c>
    </row>
    <row r="13" spans="1:27" x14ac:dyDescent="0.25">
      <c r="A13" s="17" t="s">
        <v>106</v>
      </c>
      <c r="B13" s="17">
        <v>5</v>
      </c>
      <c r="E13" s="6" t="s">
        <v>77</v>
      </c>
      <c r="F13">
        <f>B9</f>
        <v>0.5</v>
      </c>
      <c r="I13" t="s">
        <v>359</v>
      </c>
      <c r="J13" s="17" t="s">
        <v>349</v>
      </c>
      <c r="K13" s="17">
        <v>0.5</v>
      </c>
      <c r="L13" s="17" t="s">
        <v>349</v>
      </c>
    </row>
    <row r="14" spans="1:27" x14ac:dyDescent="0.25">
      <c r="A14" s="17" t="s">
        <v>99</v>
      </c>
      <c r="B14" s="17">
        <v>0.8</v>
      </c>
      <c r="E14" s="6" t="s">
        <v>78</v>
      </c>
      <c r="F14">
        <f>B10</f>
        <v>0.5</v>
      </c>
      <c r="I14" t="s">
        <v>360</v>
      </c>
      <c r="J14" s="17" t="s">
        <v>350</v>
      </c>
      <c r="K14" s="17">
        <v>0.5</v>
      </c>
      <c r="L14" s="17" t="s">
        <v>350</v>
      </c>
    </row>
    <row r="15" spans="1:27" x14ac:dyDescent="0.25">
      <c r="A15" s="58" t="s">
        <v>101</v>
      </c>
      <c r="B15" s="58">
        <v>0.8</v>
      </c>
      <c r="E15" s="9" t="s">
        <v>82</v>
      </c>
      <c r="F15" s="157">
        <v>0.5</v>
      </c>
      <c r="G15" s="157"/>
      <c r="I15" t="s">
        <v>361</v>
      </c>
      <c r="J15" s="17" t="s">
        <v>351</v>
      </c>
      <c r="K15" s="17">
        <v>0.5</v>
      </c>
      <c r="L15" s="17" t="s">
        <v>351</v>
      </c>
    </row>
    <row r="16" spans="1:27" x14ac:dyDescent="0.25">
      <c r="A16" s="58" t="s">
        <v>102</v>
      </c>
      <c r="B16" s="58">
        <v>0.6</v>
      </c>
      <c r="I16" t="s">
        <v>332</v>
      </c>
      <c r="J16" s="17" t="s">
        <v>97</v>
      </c>
      <c r="K16" s="17">
        <v>5</v>
      </c>
      <c r="Q16" s="456"/>
      <c r="R16" s="456"/>
      <c r="S16" s="456"/>
    </row>
    <row r="17" spans="1:19" x14ac:dyDescent="0.25">
      <c r="A17" s="58" t="s">
        <v>103</v>
      </c>
      <c r="B17" s="58">
        <v>0.5</v>
      </c>
      <c r="I17" t="s">
        <v>362</v>
      </c>
      <c r="J17" s="17" t="s">
        <v>98</v>
      </c>
      <c r="K17" s="17">
        <v>30</v>
      </c>
      <c r="Q17" s="456"/>
      <c r="R17" s="456"/>
      <c r="S17" s="456"/>
    </row>
    <row r="18" spans="1:19" x14ac:dyDescent="0.25">
      <c r="A18" s="58" t="s">
        <v>104</v>
      </c>
      <c r="B18" s="58">
        <v>0.3</v>
      </c>
      <c r="E18" t="s">
        <v>562</v>
      </c>
      <c r="F18" t="s">
        <v>566</v>
      </c>
      <c r="G18" t="s">
        <v>313</v>
      </c>
      <c r="I18" t="s">
        <v>106</v>
      </c>
      <c r="J18" s="17" t="s">
        <v>106</v>
      </c>
      <c r="K18" s="17">
        <v>5</v>
      </c>
      <c r="Q18" s="456"/>
      <c r="R18" s="456"/>
      <c r="S18" s="456"/>
    </row>
    <row r="19" spans="1:19" x14ac:dyDescent="0.25">
      <c r="A19" s="58" t="s">
        <v>105</v>
      </c>
      <c r="B19" s="58">
        <v>0.2</v>
      </c>
      <c r="E19" s="75" t="s">
        <v>589</v>
      </c>
      <c r="F19" s="75" t="s">
        <v>567</v>
      </c>
      <c r="G19" s="75">
        <v>2</v>
      </c>
      <c r="I19" t="s">
        <v>363</v>
      </c>
      <c r="J19" s="17" t="s">
        <v>99</v>
      </c>
      <c r="K19" s="17">
        <v>0.8</v>
      </c>
      <c r="Q19" s="456"/>
      <c r="R19" s="456"/>
      <c r="S19" s="456"/>
    </row>
    <row r="20" spans="1:19" x14ac:dyDescent="0.25">
      <c r="A20" s="17" t="s">
        <v>126</v>
      </c>
      <c r="B20" s="36">
        <v>1</v>
      </c>
      <c r="E20" s="75" t="s">
        <v>590</v>
      </c>
      <c r="F20" s="75" t="s">
        <v>567</v>
      </c>
      <c r="G20" s="75">
        <v>15</v>
      </c>
      <c r="I20" t="s">
        <v>364</v>
      </c>
      <c r="J20" s="58" t="s">
        <v>323</v>
      </c>
      <c r="K20" s="58">
        <v>0.8</v>
      </c>
      <c r="L20" s="58" t="s">
        <v>323</v>
      </c>
      <c r="Q20" s="456"/>
      <c r="R20" s="456"/>
      <c r="S20" s="456"/>
    </row>
    <row r="21" spans="1:19" ht="30" x14ac:dyDescent="0.25">
      <c r="A21" s="35" t="s">
        <v>127</v>
      </c>
      <c r="B21" s="36">
        <v>2</v>
      </c>
      <c r="E21" s="75" t="s">
        <v>559</v>
      </c>
      <c r="F21" s="75" t="s">
        <v>568</v>
      </c>
      <c r="G21" s="75">
        <v>3</v>
      </c>
      <c r="I21" t="s">
        <v>365</v>
      </c>
      <c r="J21" s="58" t="s">
        <v>324</v>
      </c>
      <c r="K21" s="58">
        <v>0.6</v>
      </c>
      <c r="L21" s="58" t="s">
        <v>324</v>
      </c>
      <c r="Q21" s="456"/>
      <c r="R21" s="456"/>
      <c r="S21" s="456"/>
    </row>
    <row r="22" spans="1:19" x14ac:dyDescent="0.25">
      <c r="A22" s="17" t="s">
        <v>167</v>
      </c>
      <c r="B22" s="17">
        <v>120</v>
      </c>
      <c r="E22" s="75" t="s">
        <v>560</v>
      </c>
      <c r="F22" s="75" t="s">
        <v>568</v>
      </c>
      <c r="G22" s="75">
        <v>3</v>
      </c>
      <c r="I22" t="s">
        <v>366</v>
      </c>
      <c r="J22" s="58" t="s">
        <v>325</v>
      </c>
      <c r="K22" s="58">
        <v>0.5</v>
      </c>
      <c r="L22" s="58" t="s">
        <v>325</v>
      </c>
      <c r="Q22" s="456"/>
      <c r="R22" s="456"/>
      <c r="S22" s="456"/>
    </row>
    <row r="23" spans="1:19" x14ac:dyDescent="0.25">
      <c r="A23" s="17" t="s">
        <v>168</v>
      </c>
      <c r="B23" s="17">
        <v>90</v>
      </c>
      <c r="E23" s="75" t="s">
        <v>555</v>
      </c>
      <c r="F23" s="75" t="s">
        <v>568</v>
      </c>
      <c r="G23" s="75">
        <v>4</v>
      </c>
      <c r="I23" t="s">
        <v>367</v>
      </c>
      <c r="J23" s="58" t="s">
        <v>326</v>
      </c>
      <c r="K23" s="58">
        <v>0.3</v>
      </c>
      <c r="L23" s="58" t="s">
        <v>326</v>
      </c>
      <c r="Q23" s="456"/>
      <c r="R23" s="456"/>
      <c r="S23" s="456"/>
    </row>
    <row r="24" spans="1:19" x14ac:dyDescent="0.25">
      <c r="A24" s="17" t="s">
        <v>169</v>
      </c>
      <c r="B24" s="17">
        <v>60</v>
      </c>
      <c r="E24" s="75" t="s">
        <v>556</v>
      </c>
      <c r="F24" s="75" t="s">
        <v>568</v>
      </c>
      <c r="G24" s="75">
        <v>4</v>
      </c>
      <c r="I24" t="s">
        <v>368</v>
      </c>
      <c r="J24" s="58" t="s">
        <v>327</v>
      </c>
      <c r="K24" s="58">
        <v>0.2</v>
      </c>
      <c r="L24" s="58" t="s">
        <v>327</v>
      </c>
    </row>
    <row r="25" spans="1:19" ht="30" x14ac:dyDescent="0.25">
      <c r="A25" s="63" t="s">
        <v>142</v>
      </c>
      <c r="B25" s="12">
        <v>2</v>
      </c>
      <c r="E25" s="75" t="s">
        <v>561</v>
      </c>
      <c r="F25" s="75" t="s">
        <v>568</v>
      </c>
      <c r="G25" s="75">
        <v>4</v>
      </c>
      <c r="I25" t="s">
        <v>372</v>
      </c>
      <c r="J25" s="17" t="s">
        <v>126</v>
      </c>
      <c r="K25" s="36">
        <v>1</v>
      </c>
    </row>
    <row r="26" spans="1:19" ht="30" x14ac:dyDescent="0.25">
      <c r="A26" s="63" t="s">
        <v>143</v>
      </c>
      <c r="B26" s="12">
        <v>2</v>
      </c>
      <c r="I26" t="s">
        <v>373</v>
      </c>
      <c r="J26" s="35" t="s">
        <v>127</v>
      </c>
      <c r="K26" s="36">
        <v>2</v>
      </c>
    </row>
    <row r="27" spans="1:19" ht="45" x14ac:dyDescent="0.25">
      <c r="A27" s="63" t="s">
        <v>144</v>
      </c>
      <c r="B27" s="12">
        <v>3</v>
      </c>
      <c r="I27" t="s">
        <v>369</v>
      </c>
      <c r="J27" s="17" t="s">
        <v>167</v>
      </c>
      <c r="K27" s="17">
        <v>120</v>
      </c>
    </row>
    <row r="28" spans="1:19" ht="45" x14ac:dyDescent="0.25">
      <c r="A28" s="63" t="s">
        <v>145</v>
      </c>
      <c r="B28" s="12">
        <v>4</v>
      </c>
      <c r="I28" t="s">
        <v>370</v>
      </c>
      <c r="J28" s="17" t="s">
        <v>168</v>
      </c>
      <c r="K28" s="17">
        <v>90</v>
      </c>
    </row>
    <row r="29" spans="1:19" ht="30" x14ac:dyDescent="0.25">
      <c r="A29" s="63" t="s">
        <v>146</v>
      </c>
      <c r="B29" s="12">
        <v>1</v>
      </c>
      <c r="I29" t="s">
        <v>371</v>
      </c>
      <c r="J29" s="17" t="s">
        <v>352</v>
      </c>
      <c r="K29" s="17">
        <v>60</v>
      </c>
    </row>
    <row r="30" spans="1:19" ht="30" x14ac:dyDescent="0.25">
      <c r="A30" s="63" t="s">
        <v>147</v>
      </c>
      <c r="B30" s="12">
        <v>2</v>
      </c>
      <c r="I30" t="s">
        <v>374</v>
      </c>
      <c r="J30" s="63" t="s">
        <v>378</v>
      </c>
      <c r="K30" s="12">
        <v>2</v>
      </c>
    </row>
    <row r="31" spans="1:19" ht="30" x14ac:dyDescent="0.25">
      <c r="A31" s="33" t="s">
        <v>125</v>
      </c>
      <c r="B31" s="34" t="s">
        <v>95</v>
      </c>
      <c r="I31" t="s">
        <v>376</v>
      </c>
      <c r="J31" s="63" t="s">
        <v>377</v>
      </c>
      <c r="K31" s="12">
        <v>2</v>
      </c>
    </row>
    <row r="32" spans="1:19" ht="30" x14ac:dyDescent="0.25">
      <c r="A32" s="6">
        <v>2</v>
      </c>
      <c r="B32" s="8">
        <v>0.8</v>
      </c>
      <c r="I32" t="s">
        <v>375</v>
      </c>
      <c r="J32" s="63" t="s">
        <v>143</v>
      </c>
      <c r="K32" s="12">
        <v>2</v>
      </c>
    </row>
    <row r="33" spans="1:11" ht="45" x14ac:dyDescent="0.25">
      <c r="A33" s="9">
        <v>1</v>
      </c>
      <c r="B33" s="11">
        <v>0.6</v>
      </c>
      <c r="I33" t="s">
        <v>379</v>
      </c>
      <c r="J33" s="63" t="s">
        <v>382</v>
      </c>
      <c r="K33" s="12">
        <v>3</v>
      </c>
    </row>
    <row r="34" spans="1:11" ht="45" x14ac:dyDescent="0.25">
      <c r="A34" s="9">
        <v>0</v>
      </c>
      <c r="B34" s="11">
        <v>0</v>
      </c>
      <c r="I34" t="s">
        <v>380</v>
      </c>
      <c r="J34" s="63" t="s">
        <v>383</v>
      </c>
      <c r="K34" s="12">
        <v>3</v>
      </c>
    </row>
    <row r="35" spans="1:11" ht="45" x14ac:dyDescent="0.25">
      <c r="I35" t="s">
        <v>381</v>
      </c>
      <c r="J35" s="63" t="s">
        <v>145</v>
      </c>
      <c r="K35" s="12">
        <v>4</v>
      </c>
    </row>
    <row r="36" spans="1:11" ht="30" x14ac:dyDescent="0.25">
      <c r="I36" t="s">
        <v>386</v>
      </c>
      <c r="J36" s="63" t="s">
        <v>384</v>
      </c>
      <c r="K36" s="12">
        <v>1</v>
      </c>
    </row>
    <row r="37" spans="1:11" ht="30" x14ac:dyDescent="0.25">
      <c r="I37" t="s">
        <v>387</v>
      </c>
      <c r="J37" s="63" t="s">
        <v>385</v>
      </c>
      <c r="K37" s="12">
        <v>1</v>
      </c>
    </row>
    <row r="38" spans="1:11" ht="30" x14ac:dyDescent="0.25">
      <c r="I38" t="s">
        <v>388</v>
      </c>
      <c r="J38" s="63" t="s">
        <v>147</v>
      </c>
      <c r="K38" s="12">
        <v>2</v>
      </c>
    </row>
    <row r="39" spans="1:11" x14ac:dyDescent="0.25">
      <c r="J39" s="33" t="s">
        <v>125</v>
      </c>
      <c r="K39" s="34" t="s">
        <v>95</v>
      </c>
    </row>
    <row r="40" spans="1:11" x14ac:dyDescent="0.25">
      <c r="I40" t="s">
        <v>389</v>
      </c>
      <c r="J40" s="6">
        <v>2</v>
      </c>
      <c r="K40" s="8">
        <v>0.8</v>
      </c>
    </row>
    <row r="41" spans="1:11" x14ac:dyDescent="0.25">
      <c r="I41" t="s">
        <v>390</v>
      </c>
      <c r="J41" s="9">
        <v>1</v>
      </c>
      <c r="K41" s="11">
        <v>0.6</v>
      </c>
    </row>
    <row r="42" spans="1:11" x14ac:dyDescent="0.25">
      <c r="I42" t="s">
        <v>391</v>
      </c>
      <c r="J42" s="9">
        <v>0</v>
      </c>
      <c r="K42" s="11">
        <v>0</v>
      </c>
    </row>
  </sheetData>
  <mergeCells count="2">
    <mergeCell ref="E4:F4"/>
    <mergeCell ref="E10:F10"/>
  </mergeCells>
  <pageMargins left="0.7" right="0.7" top="0.75" bottom="0.75" header="0.3" footer="0.3"/>
  <pageSetup paperSize="9" scale="18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rgb="FFFF5050"/>
  </sheetPr>
  <dimension ref="C2:R99"/>
  <sheetViews>
    <sheetView topLeftCell="H1" workbookViewId="0">
      <selection activeCell="D10" sqref="D10"/>
    </sheetView>
  </sheetViews>
  <sheetFormatPr defaultRowHeight="15" x14ac:dyDescent="0.25"/>
  <cols>
    <col min="3" max="3" width="26.85546875" bestFit="1" customWidth="1"/>
    <col min="4" max="4" width="58.42578125" bestFit="1" customWidth="1"/>
    <col min="5" max="5" width="11" customWidth="1"/>
    <col min="6" max="6" width="33.140625" bestFit="1" customWidth="1"/>
    <col min="7" max="7" width="32.5703125" bestFit="1" customWidth="1"/>
    <col min="8" max="8" width="19.85546875" bestFit="1" customWidth="1"/>
    <col min="9" max="9" width="16.42578125" bestFit="1" customWidth="1"/>
    <col min="10" max="10" width="6.140625" customWidth="1"/>
    <col min="11" max="11" width="16.85546875" customWidth="1"/>
    <col min="12" max="12" width="6" customWidth="1"/>
    <col min="13" max="13" width="12.140625" customWidth="1"/>
    <col min="14" max="14" width="35.140625" bestFit="1" customWidth="1"/>
    <col min="15" max="15" width="32.140625" bestFit="1" customWidth="1"/>
    <col min="16" max="16" width="14" bestFit="1" customWidth="1"/>
    <col min="17" max="17" width="15.140625" bestFit="1" customWidth="1"/>
    <col min="18" max="18" width="24.42578125" bestFit="1" customWidth="1"/>
  </cols>
  <sheetData>
    <row r="2" spans="3:18" x14ac:dyDescent="0.25">
      <c r="C2" s="506" t="s">
        <v>587</v>
      </c>
      <c r="D2" s="507">
        <v>43855</v>
      </c>
      <c r="G2" s="74" t="s">
        <v>471</v>
      </c>
      <c r="H2" s="74"/>
      <c r="I2" s="74"/>
      <c r="K2" t="s">
        <v>467</v>
      </c>
    </row>
    <row r="3" spans="3:18" x14ac:dyDescent="0.25">
      <c r="G3" s="74" t="s">
        <v>441</v>
      </c>
      <c r="H3" s="74" t="s">
        <v>411</v>
      </c>
      <c r="I3" s="74" t="s">
        <v>412</v>
      </c>
      <c r="K3" t="s">
        <v>442</v>
      </c>
      <c r="M3" t="s">
        <v>136</v>
      </c>
      <c r="N3" t="s">
        <v>447</v>
      </c>
      <c r="O3" t="s">
        <v>18</v>
      </c>
      <c r="P3" t="s">
        <v>445</v>
      </c>
      <c r="Q3" t="s">
        <v>649</v>
      </c>
      <c r="R3" t="s">
        <v>446</v>
      </c>
    </row>
    <row r="4" spans="3:18" x14ac:dyDescent="0.25">
      <c r="G4" s="210" t="s">
        <v>149</v>
      </c>
      <c r="H4" s="210" t="str">
        <f>G4</f>
        <v>зимен</v>
      </c>
      <c r="I4" s="210" t="str">
        <f>G5</f>
        <v>летен</v>
      </c>
      <c r="K4" s="113" t="s">
        <v>736</v>
      </c>
      <c r="M4" t="s">
        <v>444</v>
      </c>
      <c r="N4" t="str">
        <f>T(O4)&amp;" / "&amp;T(P4)&amp;" / "&amp;IFERROR(VLOOKUP(T_Семестри[[#This Row],[Акад. длъжн]],T_АкадДлъж[[Академична длъжност в СУ]:[акад. длъж]],2,0)&amp;" "&amp;T(R4),"----")</f>
        <v>Факултет / катедра / ----</v>
      </c>
      <c r="O4" t="str">
        <f>IF('1. План'!$B$7&lt;&gt;0,'1. План'!$B$7,"Факултет")</f>
        <v>Факултет</v>
      </c>
      <c r="P4" t="str">
        <f>IF('1. План'!$B$9&lt;&gt;0,'1. План'!$B$9,"катедра")</f>
        <v>катедра</v>
      </c>
      <c r="Q4" t="str">
        <f>IF('1. План'!B$14&lt;&gt;0,'1. План'!B$14,"акад. длъж., ")</f>
        <v xml:space="preserve">акад. длъж., </v>
      </c>
      <c r="R4" t="str">
        <f>IF('1. План'!$F$14=0,"Преподавател",'1. План'!$F$14)</f>
        <v>Преподавател</v>
      </c>
    </row>
    <row r="5" spans="3:18" x14ac:dyDescent="0.25">
      <c r="G5" s="210" t="s">
        <v>150</v>
      </c>
      <c r="K5" s="113" t="s">
        <v>735</v>
      </c>
      <c r="M5" t="s">
        <v>411</v>
      </c>
      <c r="N5" t="str">
        <f>T(O5)&amp;" / "&amp;T(P5)&amp;" / "&amp;IFERROR(VLOOKUP(T_Семестри[[#This Row],[Акад. длъжн]],T_АкадДлъж[[Академична длъжност в СУ]:[акад. длъж]],2,0)&amp;" "&amp;T(R5),"----")</f>
        <v>Факултет / катедра / ----</v>
      </c>
      <c r="O5" t="str">
        <f>IF('1. Отчет'!$B$7&lt;&gt;"",'1. Отчет'!$B$7,"Факултет")</f>
        <v>Факултет</v>
      </c>
      <c r="P5" t="str">
        <f>IF('1. Отчет'!B9&lt;&gt;0,'1. Отчет'!B9,"катедра")</f>
        <v>катедра</v>
      </c>
      <c r="Q5" t="str">
        <f>IF('1. Отчет'!$B$14&lt;&gt;0,'1. Отчет'!$B$14,"акад. длъж., ")</f>
        <v xml:space="preserve">акад. длъж., </v>
      </c>
      <c r="R5" t="str">
        <f>IF('1. Отчет'!$F$14=0,"Преподавател",'1. Отчет'!F$14)</f>
        <v>Преподавател</v>
      </c>
    </row>
    <row r="6" spans="3:18" x14ac:dyDescent="0.25">
      <c r="K6" s="113" t="s">
        <v>734</v>
      </c>
      <c r="M6" t="s">
        <v>412</v>
      </c>
      <c r="N6" t="str">
        <f>T(O6)&amp;" / "&amp;T(P6)&amp;" / "&amp;IFERROR(VLOOKUP(T_Семестри[[#This Row],[Акад. длъжн]],T_АкадДлъж[[Академична длъжност в СУ]:[акад. длъж]],2,0)&amp;" "&amp;T(R6),"----")</f>
        <v>Факултет / катедра / ----</v>
      </c>
      <c r="O6" t="str">
        <f>IF('1. Отчет'!$B$7&lt;&gt;"",'1. Отчет'!$B$7,"Факултет")</f>
        <v>Факултет</v>
      </c>
      <c r="P6" t="str">
        <f>P5</f>
        <v>катедра</v>
      </c>
      <c r="Q6" t="str">
        <f>IF('1. Отчет'!$B$14&lt;&gt;0,'1. Отчет'!$B$14,"акад. длъж., ")</f>
        <v xml:space="preserve">акад. длъж., </v>
      </c>
      <c r="R6" t="str">
        <f>IF('1. Отчет'!$F$14=0,"Преподавател",'1. Отчет'!F$14)</f>
        <v>Преподавател</v>
      </c>
    </row>
    <row r="7" spans="3:18" x14ac:dyDescent="0.25">
      <c r="G7" s="202" t="s">
        <v>136</v>
      </c>
      <c r="K7" s="113" t="s">
        <v>443</v>
      </c>
      <c r="M7" t="s">
        <v>441</v>
      </c>
      <c r="N7" t="str">
        <f>T(O7)&amp;" / "&amp;T(P7)&amp;" / "&amp;IFERROR(VLOOKUP(T_Семестри[[#This Row],[Акад. длъжн]],T_АкадДлъж[[Академична длъжност в СУ]:[акад. длъж]],2,0)&amp;" "&amp;T(R7),"----")</f>
        <v>Факултет / катедра / ----</v>
      </c>
      <c r="O7" t="str">
        <f>IF('1. Отчет'!$B$7&lt;&gt;"",'1. Отчет'!$B$7,"Факултет")</f>
        <v>Факултет</v>
      </c>
      <c r="P7" t="str">
        <f>P6</f>
        <v>катедра</v>
      </c>
      <c r="Q7" t="str">
        <f>IF('1. Отчет'!$B$14&lt;&gt;0,'1. Отчет'!$B$14,"акад. длъж., ")</f>
        <v xml:space="preserve">акад. длъж., </v>
      </c>
      <c r="R7" t="str">
        <f>IF('1. Отчет'!$F$14=0,"Преподавател",'1. Отчет'!F$14)</f>
        <v>Преподавател</v>
      </c>
    </row>
    <row r="8" spans="3:18" x14ac:dyDescent="0.25">
      <c r="G8" s="203" t="s">
        <v>444</v>
      </c>
      <c r="H8" t="s">
        <v>460</v>
      </c>
      <c r="I8" t="s">
        <v>513</v>
      </c>
      <c r="K8" s="113" t="s">
        <v>295</v>
      </c>
    </row>
    <row r="9" spans="3:18" x14ac:dyDescent="0.25">
      <c r="C9" s="201" t="s">
        <v>437</v>
      </c>
      <c r="D9" s="206" t="s">
        <v>734</v>
      </c>
      <c r="G9" s="204" t="s">
        <v>411</v>
      </c>
      <c r="H9" t="s">
        <v>462</v>
      </c>
      <c r="I9" t="s">
        <v>514</v>
      </c>
    </row>
    <row r="10" spans="3:18" x14ac:dyDescent="0.25">
      <c r="C10" s="201" t="s">
        <v>440</v>
      </c>
      <c r="D10" s="206" t="s">
        <v>412</v>
      </c>
      <c r="G10" s="203" t="s">
        <v>412</v>
      </c>
      <c r="H10" t="s">
        <v>463</v>
      </c>
      <c r="I10" t="s">
        <v>515</v>
      </c>
    </row>
    <row r="11" spans="3:18" x14ac:dyDescent="0.25">
      <c r="G11" s="204" t="s">
        <v>441</v>
      </c>
      <c r="H11" t="s">
        <v>460</v>
      </c>
      <c r="I11" t="s">
        <v>516</v>
      </c>
    </row>
    <row r="12" spans="3:18" ht="30.75" customHeight="1" x14ac:dyDescent="0.25">
      <c r="C12" s="205" t="s">
        <v>447</v>
      </c>
      <c r="D12" s="207" t="str">
        <f>VLOOKUP(D10,T_Семестри[#Data],2,0)</f>
        <v>Факултет / катедра / ----</v>
      </c>
    </row>
    <row r="13" spans="3:18" ht="30.75" customHeight="1" x14ac:dyDescent="0.25">
      <c r="C13" s="205" t="s">
        <v>18</v>
      </c>
      <c r="D13" s="207" t="str">
        <f>IF(E13&lt;&gt;0,E13,"")</f>
        <v>Факултет</v>
      </c>
      <c r="E13" t="str">
        <f>VLOOKUP(D10,T_Семестри[#Data],3,0)</f>
        <v>Факултет</v>
      </c>
      <c r="L13" s="374"/>
    </row>
    <row r="14" spans="3:18" x14ac:dyDescent="0.25">
      <c r="C14" s="205" t="s">
        <v>461</v>
      </c>
      <c r="D14" s="208" t="str">
        <f>VLOOKUP(D10,G8:H11,2,0)</f>
        <v>nЛетен</v>
      </c>
    </row>
    <row r="15" spans="3:18" x14ac:dyDescent="0.25">
      <c r="C15" s="205" t="s">
        <v>464</v>
      </c>
      <c r="D15" s="208">
        <f t="array" ref="D15">SUM(ROW(1:4)*(G8:G11=D10))</f>
        <v>3</v>
      </c>
    </row>
    <row r="16" spans="3:18" ht="30" x14ac:dyDescent="0.25">
      <c r="C16" s="209" t="s">
        <v>465</v>
      </c>
      <c r="D16" s="208" t="str">
        <f>CHOOSE(D15,"--",G16,H16,I16)</f>
        <v>ЛЕТЕН СЕМЕСТЪР
ЛЯТНА СЕСИЯ</v>
      </c>
      <c r="G16" s="917" t="s">
        <v>466</v>
      </c>
      <c r="H16" s="917" t="s">
        <v>328</v>
      </c>
      <c r="I16" s="917" t="s">
        <v>519</v>
      </c>
    </row>
    <row r="17" spans="3:13" x14ac:dyDescent="0.25">
      <c r="C17" s="209" t="s">
        <v>509</v>
      </c>
      <c r="D17" s="208" t="str">
        <f>"Индивидуален "&amp;IF(D10="План","план","отчет")</f>
        <v>Индивидуален отчет</v>
      </c>
      <c r="K17">
        <v>1</v>
      </c>
      <c r="L17">
        <v>5</v>
      </c>
      <c r="M17">
        <v>5</v>
      </c>
    </row>
    <row r="18" spans="3:13" x14ac:dyDescent="0.25">
      <c r="K18">
        <v>1</v>
      </c>
      <c r="L18">
        <v>6</v>
      </c>
      <c r="M18">
        <v>5</v>
      </c>
    </row>
    <row r="19" spans="3:13" x14ac:dyDescent="0.25">
      <c r="D19" s="208" t="str">
        <f>"Бланка-"&amp;D20&amp;"-"&amp;D21&amp;"-"&amp;D17</f>
        <v>Бланка-2020-2021-IO-2-SU-Индивидуален отчет</v>
      </c>
      <c r="F19" s="74" t="s">
        <v>444</v>
      </c>
      <c r="K19">
        <v>1</v>
      </c>
      <c r="L19">
        <v>5</v>
      </c>
      <c r="M19">
        <v>5</v>
      </c>
    </row>
    <row r="20" spans="3:13" x14ac:dyDescent="0.25">
      <c r="D20" t="str">
        <f>VALUE(LEFT(Учебна_година,4))&amp;"-"&amp;VALUE(LEFT(Учебна_година,4))+1</f>
        <v>2020-2021</v>
      </c>
      <c r="E20">
        <v>1</v>
      </c>
      <c r="F20" t="s">
        <v>510</v>
      </c>
      <c r="K20">
        <v>1</v>
      </c>
      <c r="L20">
        <v>56</v>
      </c>
      <c r="M20">
        <v>6</v>
      </c>
    </row>
    <row r="21" spans="3:13" x14ac:dyDescent="0.25">
      <c r="D21" t="str">
        <f>VLOOKUP(Семестър,$G$8:$I$11,3,0)</f>
        <v>IO-2-SU</v>
      </c>
      <c r="E21">
        <v>2</v>
      </c>
      <c r="F21" t="s">
        <v>448</v>
      </c>
      <c r="K21">
        <v>1</v>
      </c>
      <c r="L21">
        <v>6</v>
      </c>
      <c r="M21">
        <v>5</v>
      </c>
    </row>
    <row r="22" spans="3:13" x14ac:dyDescent="0.25">
      <c r="E22">
        <v>3</v>
      </c>
      <c r="F22" t="s">
        <v>449</v>
      </c>
      <c r="K22">
        <v>1</v>
      </c>
      <c r="L22">
        <v>5</v>
      </c>
      <c r="M22">
        <v>6</v>
      </c>
    </row>
    <row r="23" spans="3:13" x14ac:dyDescent="0.25">
      <c r="E23">
        <v>4</v>
      </c>
      <c r="F23" t="s">
        <v>450</v>
      </c>
      <c r="K23">
        <v>2</v>
      </c>
      <c r="L23">
        <v>5</v>
      </c>
      <c r="M23">
        <v>7</v>
      </c>
    </row>
    <row r="24" spans="3:13" x14ac:dyDescent="0.25">
      <c r="E24">
        <v>5</v>
      </c>
      <c r="F24" t="s">
        <v>451</v>
      </c>
      <c r="K24">
        <v>3</v>
      </c>
      <c r="L24">
        <v>65</v>
      </c>
      <c r="M24">
        <v>56</v>
      </c>
    </row>
    <row r="25" spans="3:13" x14ac:dyDescent="0.25">
      <c r="K25">
        <v>4</v>
      </c>
      <c r="L25">
        <v>6</v>
      </c>
      <c r="M25">
        <v>756</v>
      </c>
    </row>
    <row r="26" spans="3:13" x14ac:dyDescent="0.25">
      <c r="F26" s="74" t="s">
        <v>411</v>
      </c>
      <c r="G26" s="529" t="s">
        <v>644</v>
      </c>
      <c r="H26" s="529" t="s">
        <v>646</v>
      </c>
    </row>
    <row r="27" spans="3:13" ht="15.75" x14ac:dyDescent="0.25">
      <c r="D27" s="675" t="s">
        <v>688</v>
      </c>
      <c r="E27">
        <v>1</v>
      </c>
      <c r="F27" t="s">
        <v>510</v>
      </c>
    </row>
    <row r="28" spans="3:13" x14ac:dyDescent="0.25">
      <c r="D28" t="str">
        <f>D20&amp;D21&amp;"-Факултет-Катедра-Име_Презиме_Фамилия"</f>
        <v>2020-2021IO-2-SU-Факултет-Катедра-Име_Презиме_Фамилия</v>
      </c>
      <c r="E28">
        <v>2</v>
      </c>
      <c r="F28" t="s">
        <v>452</v>
      </c>
      <c r="G28" t="s">
        <v>647</v>
      </c>
      <c r="H28" t="s">
        <v>645</v>
      </c>
    </row>
    <row r="29" spans="3:13" x14ac:dyDescent="0.25">
      <c r="E29">
        <v>3</v>
      </c>
      <c r="F29" t="s">
        <v>453</v>
      </c>
      <c r="G29" t="s">
        <v>647</v>
      </c>
      <c r="H29" t="s">
        <v>645</v>
      </c>
    </row>
    <row r="30" spans="3:13" x14ac:dyDescent="0.25">
      <c r="E30">
        <v>4</v>
      </c>
      <c r="F30" t="s">
        <v>454</v>
      </c>
    </row>
    <row r="31" spans="3:13" x14ac:dyDescent="0.25">
      <c r="E31">
        <v>5</v>
      </c>
      <c r="F31" t="s">
        <v>455</v>
      </c>
    </row>
    <row r="33" spans="4:9" x14ac:dyDescent="0.25">
      <c r="D33" t="s">
        <v>700</v>
      </c>
      <c r="F33" s="74" t="s">
        <v>412</v>
      </c>
      <c r="G33" s="529" t="s">
        <v>644</v>
      </c>
      <c r="H33" s="529" t="s">
        <v>646</v>
      </c>
    </row>
    <row r="34" spans="4:9" x14ac:dyDescent="0.25">
      <c r="D34" t="s">
        <v>733</v>
      </c>
      <c r="E34">
        <v>1</v>
      </c>
      <c r="F34" t="s">
        <v>510</v>
      </c>
    </row>
    <row r="35" spans="4:9" x14ac:dyDescent="0.25">
      <c r="D35" t="s">
        <v>695</v>
      </c>
      <c r="E35">
        <v>2</v>
      </c>
      <c r="F35" t="s">
        <v>456</v>
      </c>
      <c r="G35" t="s">
        <v>645</v>
      </c>
      <c r="H35" t="s">
        <v>647</v>
      </c>
    </row>
    <row r="36" spans="4:9" x14ac:dyDescent="0.25">
      <c r="D36" t="s">
        <v>696</v>
      </c>
      <c r="E36">
        <v>3</v>
      </c>
      <c r="F36" t="s">
        <v>457</v>
      </c>
      <c r="G36" t="s">
        <v>645</v>
      </c>
      <c r="H36" t="s">
        <v>647</v>
      </c>
    </row>
    <row r="37" spans="4:9" x14ac:dyDescent="0.25">
      <c r="D37" t="s">
        <v>697</v>
      </c>
      <c r="E37">
        <v>4</v>
      </c>
      <c r="F37" t="s">
        <v>458</v>
      </c>
    </row>
    <row r="38" spans="4:9" x14ac:dyDescent="0.25">
      <c r="D38" t="s">
        <v>698</v>
      </c>
      <c r="E38">
        <v>5</v>
      </c>
      <c r="F38" t="s">
        <v>459</v>
      </c>
    </row>
    <row r="39" spans="4:9" x14ac:dyDescent="0.25">
      <c r="D39" t="s">
        <v>699</v>
      </c>
    </row>
    <row r="40" spans="4:9" x14ac:dyDescent="0.25">
      <c r="F40" s="74" t="s">
        <v>441</v>
      </c>
      <c r="G40" s="802" t="s">
        <v>644</v>
      </c>
      <c r="H40" s="802" t="s">
        <v>646</v>
      </c>
    </row>
    <row r="41" spans="4:9" x14ac:dyDescent="0.25">
      <c r="E41">
        <v>1</v>
      </c>
      <c r="F41" t="s">
        <v>510</v>
      </c>
    </row>
    <row r="42" spans="4:9" x14ac:dyDescent="0.25">
      <c r="E42" s="75">
        <v>2</v>
      </c>
      <c r="F42" s="75" t="s">
        <v>448</v>
      </c>
      <c r="G42" s="573" t="s">
        <v>648</v>
      </c>
    </row>
    <row r="43" spans="4:9" x14ac:dyDescent="0.25">
      <c r="E43" s="75">
        <v>3</v>
      </c>
      <c r="F43" s="75" t="s">
        <v>449</v>
      </c>
      <c r="G43" s="573" t="s">
        <v>648</v>
      </c>
    </row>
    <row r="44" spans="4:9" x14ac:dyDescent="0.25">
      <c r="E44">
        <v>4</v>
      </c>
      <c r="F44" s="75" t="s">
        <v>450</v>
      </c>
    </row>
    <row r="46" spans="4:9" x14ac:dyDescent="0.25">
      <c r="I46" t="e">
        <f ca="1">INDIRECT("T_АкадДлъж[Академична длъжност в СУ]")</f>
        <v>#VALUE!</v>
      </c>
    </row>
    <row r="47" spans="4:9" x14ac:dyDescent="0.25">
      <c r="E47" t="s">
        <v>580</v>
      </c>
      <c r="F47" t="s">
        <v>611</v>
      </c>
      <c r="G47" t="s">
        <v>612</v>
      </c>
      <c r="I47" t="e">
        <f ca="1">INDIRECT("T_АкадДлъж[акад. длъж]")</f>
        <v>#VALUE!</v>
      </c>
    </row>
    <row r="48" spans="4:9" x14ac:dyDescent="0.25">
      <c r="E48" s="531">
        <v>1</v>
      </c>
      <c r="F48" t="s">
        <v>606</v>
      </c>
      <c r="G48" t="s">
        <v>613</v>
      </c>
    </row>
    <row r="49" spans="3:8" x14ac:dyDescent="0.25">
      <c r="E49" s="531">
        <v>2</v>
      </c>
      <c r="F49" t="s">
        <v>607</v>
      </c>
      <c r="G49" t="s">
        <v>614</v>
      </c>
    </row>
    <row r="50" spans="3:8" x14ac:dyDescent="0.25">
      <c r="E50" s="531">
        <v>3</v>
      </c>
      <c r="F50" t="s">
        <v>608</v>
      </c>
      <c r="G50" t="s">
        <v>615</v>
      </c>
    </row>
    <row r="51" spans="3:8" x14ac:dyDescent="0.25">
      <c r="E51" s="531">
        <v>4</v>
      </c>
      <c r="F51" t="s">
        <v>609</v>
      </c>
      <c r="G51" t="s">
        <v>616</v>
      </c>
    </row>
    <row r="52" spans="3:8" x14ac:dyDescent="0.25">
      <c r="E52" s="531">
        <v>5</v>
      </c>
      <c r="F52" t="s">
        <v>618</v>
      </c>
      <c r="G52" t="s">
        <v>619</v>
      </c>
    </row>
    <row r="53" spans="3:8" x14ac:dyDescent="0.25">
      <c r="E53" s="531">
        <v>6</v>
      </c>
      <c r="F53" t="s">
        <v>610</v>
      </c>
      <c r="G53" t="s">
        <v>617</v>
      </c>
    </row>
    <row r="54" spans="3:8" x14ac:dyDescent="0.25">
      <c r="E54" s="531">
        <v>7</v>
      </c>
      <c r="F54" t="s">
        <v>807</v>
      </c>
      <c r="G54" t="s">
        <v>620</v>
      </c>
    </row>
    <row r="55" spans="3:8" x14ac:dyDescent="0.25">
      <c r="E55" s="531">
        <v>8</v>
      </c>
      <c r="F55" t="s">
        <v>808</v>
      </c>
      <c r="G55" t="s">
        <v>621</v>
      </c>
    </row>
    <row r="56" spans="3:8" x14ac:dyDescent="0.25">
      <c r="E56" s="531">
        <v>9</v>
      </c>
      <c r="F56" t="s">
        <v>809</v>
      </c>
      <c r="G56" t="s">
        <v>622</v>
      </c>
    </row>
    <row r="57" spans="3:8" x14ac:dyDescent="0.25">
      <c r="E57" s="531">
        <v>10</v>
      </c>
      <c r="F57" t="s">
        <v>810</v>
      </c>
      <c r="G57" t="s">
        <v>623</v>
      </c>
    </row>
    <row r="59" spans="3:8" x14ac:dyDescent="0.25">
      <c r="D59" s="531" t="s">
        <v>136</v>
      </c>
      <c r="E59" s="531" t="s">
        <v>720</v>
      </c>
      <c r="F59" s="531" t="s">
        <v>731</v>
      </c>
      <c r="G59" t="s">
        <v>732</v>
      </c>
      <c r="H59" t="s">
        <v>730</v>
      </c>
    </row>
    <row r="60" spans="3:8" x14ac:dyDescent="0.25">
      <c r="D60" s="506" t="s">
        <v>717</v>
      </c>
      <c r="E60" s="531" t="s">
        <v>718</v>
      </c>
      <c r="F60" s="531" t="s">
        <v>729</v>
      </c>
      <c r="G60" t="s">
        <v>703</v>
      </c>
      <c r="H60" t="s">
        <v>727</v>
      </c>
    </row>
    <row r="61" spans="3:8" x14ac:dyDescent="0.25">
      <c r="D61" s="506" t="s">
        <v>717</v>
      </c>
      <c r="E61" s="531" t="s">
        <v>718</v>
      </c>
      <c r="F61" s="531" t="s">
        <v>729</v>
      </c>
      <c r="G61" t="s">
        <v>704</v>
      </c>
      <c r="H61" t="s">
        <v>721</v>
      </c>
    </row>
    <row r="62" spans="3:8" x14ac:dyDescent="0.25">
      <c r="D62" s="506" t="s">
        <v>717</v>
      </c>
      <c r="E62" s="531" t="s">
        <v>718</v>
      </c>
      <c r="F62" s="531" t="s">
        <v>729</v>
      </c>
      <c r="G62" t="s">
        <v>705</v>
      </c>
      <c r="H62" t="s">
        <v>722</v>
      </c>
    </row>
    <row r="63" spans="3:8" x14ac:dyDescent="0.25">
      <c r="D63" s="506" t="s">
        <v>717</v>
      </c>
      <c r="E63" s="531" t="s">
        <v>718</v>
      </c>
      <c r="F63" s="531" t="s">
        <v>729</v>
      </c>
      <c r="G63" t="s">
        <v>706</v>
      </c>
      <c r="H63" t="s">
        <v>723</v>
      </c>
    </row>
    <row r="64" spans="3:8" x14ac:dyDescent="0.25">
      <c r="C64" s="506"/>
      <c r="D64" s="506" t="s">
        <v>717</v>
      </c>
      <c r="E64" s="531" t="s">
        <v>718</v>
      </c>
      <c r="F64" s="531" t="s">
        <v>729</v>
      </c>
      <c r="G64" t="s">
        <v>707</v>
      </c>
      <c r="H64" t="s">
        <v>724</v>
      </c>
    </row>
    <row r="65" spans="3:17" x14ac:dyDescent="0.25">
      <c r="C65" s="506"/>
      <c r="D65" s="506" t="s">
        <v>717</v>
      </c>
      <c r="E65" s="531" t="s">
        <v>718</v>
      </c>
      <c r="F65" s="531" t="s">
        <v>729</v>
      </c>
      <c r="G65" t="s">
        <v>708</v>
      </c>
      <c r="H65" t="s">
        <v>725</v>
      </c>
    </row>
    <row r="66" spans="3:17" x14ac:dyDescent="0.25">
      <c r="C66" s="506"/>
      <c r="D66" s="506" t="s">
        <v>411</v>
      </c>
      <c r="E66" s="531" t="s">
        <v>718</v>
      </c>
      <c r="F66" s="531" t="s">
        <v>737</v>
      </c>
      <c r="G66" t="s">
        <v>764</v>
      </c>
      <c r="H66" t="s">
        <v>722</v>
      </c>
    </row>
    <row r="67" spans="3:17" x14ac:dyDescent="0.25">
      <c r="C67" s="506"/>
      <c r="D67" s="506" t="s">
        <v>411</v>
      </c>
      <c r="E67" s="531" t="s">
        <v>719</v>
      </c>
      <c r="F67" s="531" t="s">
        <v>737</v>
      </c>
      <c r="G67" t="s">
        <v>710</v>
      </c>
      <c r="H67" t="s">
        <v>722</v>
      </c>
    </row>
    <row r="68" spans="3:17" x14ac:dyDescent="0.25">
      <c r="C68" s="506"/>
      <c r="D68" s="506" t="s">
        <v>412</v>
      </c>
      <c r="E68" s="531" t="s">
        <v>718</v>
      </c>
      <c r="F68" s="531" t="s">
        <v>737</v>
      </c>
      <c r="G68" t="s">
        <v>764</v>
      </c>
      <c r="H68" t="s">
        <v>722</v>
      </c>
    </row>
    <row r="69" spans="3:17" x14ac:dyDescent="0.25">
      <c r="C69" s="506"/>
      <c r="D69" s="506" t="s">
        <v>738</v>
      </c>
      <c r="E69" s="531" t="s">
        <v>719</v>
      </c>
      <c r="F69" s="531" t="s">
        <v>737</v>
      </c>
      <c r="G69" t="s">
        <v>711</v>
      </c>
      <c r="H69" t="s">
        <v>722</v>
      </c>
    </row>
    <row r="70" spans="3:17" x14ac:dyDescent="0.25">
      <c r="C70" s="506"/>
      <c r="D70" s="506" t="s">
        <v>441</v>
      </c>
      <c r="E70" s="531" t="s">
        <v>718</v>
      </c>
      <c r="F70" s="531" t="s">
        <v>737</v>
      </c>
      <c r="G70" t="s">
        <v>764</v>
      </c>
      <c r="H70" t="s">
        <v>722</v>
      </c>
    </row>
    <row r="71" spans="3:17" x14ac:dyDescent="0.25">
      <c r="C71" s="506"/>
      <c r="D71" s="506" t="s">
        <v>441</v>
      </c>
      <c r="E71" s="531" t="s">
        <v>719</v>
      </c>
      <c r="F71" s="531" t="s">
        <v>737</v>
      </c>
      <c r="G71" t="s">
        <v>739</v>
      </c>
      <c r="H71" t="s">
        <v>722</v>
      </c>
    </row>
    <row r="72" spans="3:17" x14ac:dyDescent="0.25">
      <c r="D72" s="506" t="s">
        <v>441</v>
      </c>
      <c r="E72" s="531" t="s">
        <v>718</v>
      </c>
      <c r="F72" s="531" t="s">
        <v>737</v>
      </c>
      <c r="G72" t="s">
        <v>742</v>
      </c>
      <c r="H72" t="s">
        <v>722</v>
      </c>
    </row>
    <row r="73" spans="3:17" x14ac:dyDescent="0.25">
      <c r="D73" s="506" t="s">
        <v>444</v>
      </c>
      <c r="E73" s="531" t="s">
        <v>719</v>
      </c>
      <c r="F73" s="531" t="s">
        <v>737</v>
      </c>
      <c r="G73" t="s">
        <v>701</v>
      </c>
      <c r="H73" t="s">
        <v>722</v>
      </c>
    </row>
    <row r="74" spans="3:17" x14ac:dyDescent="0.25">
      <c r="D74" s="506" t="s">
        <v>444</v>
      </c>
      <c r="E74" s="531" t="s">
        <v>718</v>
      </c>
      <c r="F74" s="531" t="s">
        <v>737</v>
      </c>
      <c r="G74" t="s">
        <v>702</v>
      </c>
      <c r="H74" t="s">
        <v>722</v>
      </c>
    </row>
    <row r="75" spans="3:17" x14ac:dyDescent="0.25">
      <c r="D75" s="506" t="s">
        <v>717</v>
      </c>
      <c r="E75" s="531" t="s">
        <v>718</v>
      </c>
      <c r="F75" s="531" t="s">
        <v>737</v>
      </c>
      <c r="G75" t="s">
        <v>709</v>
      </c>
      <c r="H75" t="s">
        <v>722</v>
      </c>
    </row>
    <row r="76" spans="3:17" x14ac:dyDescent="0.25">
      <c r="D76" s="506" t="s">
        <v>411</v>
      </c>
      <c r="E76" s="531" t="s">
        <v>718</v>
      </c>
      <c r="F76" s="531" t="s">
        <v>737</v>
      </c>
      <c r="G76" t="s">
        <v>765</v>
      </c>
      <c r="H76" t="s">
        <v>723</v>
      </c>
    </row>
    <row r="77" spans="3:17" x14ac:dyDescent="0.25">
      <c r="D77" s="506" t="s">
        <v>411</v>
      </c>
      <c r="E77" s="531" t="s">
        <v>719</v>
      </c>
      <c r="F77" s="531" t="s">
        <v>737</v>
      </c>
      <c r="G77" t="s">
        <v>713</v>
      </c>
      <c r="H77" t="s">
        <v>723</v>
      </c>
    </row>
    <row r="78" spans="3:17" x14ac:dyDescent="0.25">
      <c r="D78" s="506" t="s">
        <v>412</v>
      </c>
      <c r="E78" s="531" t="s">
        <v>718</v>
      </c>
      <c r="F78" s="531" t="s">
        <v>737</v>
      </c>
      <c r="G78" t="s">
        <v>765</v>
      </c>
      <c r="H78" t="s">
        <v>723</v>
      </c>
      <c r="L78" s="1061" t="s">
        <v>658</v>
      </c>
      <c r="M78" s="1062"/>
      <c r="N78" s="1062"/>
      <c r="O78" s="1062"/>
      <c r="P78" s="1062"/>
      <c r="Q78" s="1063"/>
    </row>
    <row r="79" spans="3:17" x14ac:dyDescent="0.25">
      <c r="D79" s="506" t="s">
        <v>412</v>
      </c>
      <c r="E79" s="531" t="s">
        <v>719</v>
      </c>
      <c r="F79" s="531" t="s">
        <v>737</v>
      </c>
      <c r="G79" t="s">
        <v>714</v>
      </c>
      <c r="H79" t="s">
        <v>723</v>
      </c>
    </row>
    <row r="80" spans="3:17" x14ac:dyDescent="0.25">
      <c r="D80" s="506" t="s">
        <v>441</v>
      </c>
      <c r="E80" s="531" t="s">
        <v>718</v>
      </c>
      <c r="F80" s="531" t="s">
        <v>737</v>
      </c>
      <c r="G80" t="s">
        <v>765</v>
      </c>
      <c r="H80" t="s">
        <v>723</v>
      </c>
    </row>
    <row r="81" spans="4:8" x14ac:dyDescent="0.25">
      <c r="D81" s="506" t="s">
        <v>441</v>
      </c>
      <c r="E81" s="531" t="s">
        <v>719</v>
      </c>
      <c r="F81" s="531" t="s">
        <v>737</v>
      </c>
      <c r="G81" t="s">
        <v>740</v>
      </c>
      <c r="H81" t="s">
        <v>723</v>
      </c>
    </row>
    <row r="82" spans="4:8" x14ac:dyDescent="0.25">
      <c r="D82" s="506" t="s">
        <v>441</v>
      </c>
      <c r="E82" s="531" t="s">
        <v>718</v>
      </c>
      <c r="F82" s="531" t="s">
        <v>737</v>
      </c>
      <c r="G82" t="s">
        <v>741</v>
      </c>
      <c r="H82" t="s">
        <v>723</v>
      </c>
    </row>
    <row r="83" spans="4:8" x14ac:dyDescent="0.25">
      <c r="D83" s="506" t="s">
        <v>444</v>
      </c>
      <c r="E83" s="531" t="s">
        <v>719</v>
      </c>
      <c r="F83" s="531" t="s">
        <v>737</v>
      </c>
      <c r="G83" t="s">
        <v>715</v>
      </c>
      <c r="H83" t="s">
        <v>723</v>
      </c>
    </row>
    <row r="84" spans="4:8" x14ac:dyDescent="0.25">
      <c r="D84" s="506" t="s">
        <v>444</v>
      </c>
      <c r="E84" s="531" t="s">
        <v>718</v>
      </c>
      <c r="F84" s="531" t="s">
        <v>737</v>
      </c>
      <c r="G84" t="s">
        <v>716</v>
      </c>
      <c r="H84" t="s">
        <v>723</v>
      </c>
    </row>
    <row r="85" spans="4:8" x14ac:dyDescent="0.25">
      <c r="D85" s="506" t="s">
        <v>717</v>
      </c>
      <c r="E85" s="531" t="s">
        <v>718</v>
      </c>
      <c r="F85" s="531" t="s">
        <v>737</v>
      </c>
      <c r="G85" t="s">
        <v>712</v>
      </c>
      <c r="H85" t="s">
        <v>723</v>
      </c>
    </row>
    <row r="86" spans="4:8" x14ac:dyDescent="0.25">
      <c r="D86" s="506" t="s">
        <v>444</v>
      </c>
      <c r="E86" s="531" t="s">
        <v>719</v>
      </c>
      <c r="F86" s="531" t="s">
        <v>730</v>
      </c>
      <c r="G86" t="s">
        <v>721</v>
      </c>
      <c r="H86" t="s">
        <v>721</v>
      </c>
    </row>
    <row r="87" spans="4:8" x14ac:dyDescent="0.25">
      <c r="D87" s="506" t="s">
        <v>726</v>
      </c>
      <c r="E87" s="531" t="s">
        <v>719</v>
      </c>
      <c r="F87" s="531" t="s">
        <v>730</v>
      </c>
      <c r="G87" t="s">
        <v>727</v>
      </c>
      <c r="H87" t="s">
        <v>727</v>
      </c>
    </row>
    <row r="88" spans="4:8" x14ac:dyDescent="0.25">
      <c r="D88" s="506" t="s">
        <v>717</v>
      </c>
      <c r="E88" s="531" t="s">
        <v>719</v>
      </c>
      <c r="F88" s="531" t="s">
        <v>730</v>
      </c>
      <c r="G88" t="s">
        <v>722</v>
      </c>
      <c r="H88" t="s">
        <v>722</v>
      </c>
    </row>
    <row r="89" spans="4:8" x14ac:dyDescent="0.25">
      <c r="D89" s="506" t="s">
        <v>717</v>
      </c>
      <c r="E89" s="531" t="s">
        <v>719</v>
      </c>
      <c r="F89" s="531" t="s">
        <v>730</v>
      </c>
      <c r="G89" t="s">
        <v>723</v>
      </c>
      <c r="H89" t="s">
        <v>723</v>
      </c>
    </row>
    <row r="90" spans="4:8" x14ac:dyDescent="0.25">
      <c r="D90" s="506" t="s">
        <v>717</v>
      </c>
      <c r="E90" s="531" t="s">
        <v>719</v>
      </c>
      <c r="F90" s="531" t="s">
        <v>730</v>
      </c>
      <c r="G90" t="s">
        <v>724</v>
      </c>
      <c r="H90" t="s">
        <v>724</v>
      </c>
    </row>
    <row r="91" spans="4:8" x14ac:dyDescent="0.25">
      <c r="D91" s="506" t="s">
        <v>728</v>
      </c>
      <c r="E91" s="531" t="s">
        <v>719</v>
      </c>
      <c r="F91" s="531" t="s">
        <v>730</v>
      </c>
      <c r="G91" t="s">
        <v>725</v>
      </c>
      <c r="H91" t="s">
        <v>725</v>
      </c>
    </row>
    <row r="92" spans="4:8" x14ac:dyDescent="0.25">
      <c r="D92" s="506" t="s">
        <v>444</v>
      </c>
      <c r="E92" s="531" t="s">
        <v>744</v>
      </c>
      <c r="F92" s="531" t="s">
        <v>743</v>
      </c>
      <c r="G92" t="s">
        <v>745</v>
      </c>
      <c r="H92" t="s">
        <v>722</v>
      </c>
    </row>
    <row r="93" spans="4:8" x14ac:dyDescent="0.25">
      <c r="D93" s="506" t="s">
        <v>444</v>
      </c>
      <c r="E93" s="531" t="s">
        <v>744</v>
      </c>
      <c r="F93" s="531" t="s">
        <v>743</v>
      </c>
      <c r="G93" t="s">
        <v>746</v>
      </c>
      <c r="H93" t="s">
        <v>723</v>
      </c>
    </row>
    <row r="94" spans="4:8" x14ac:dyDescent="0.25">
      <c r="D94" s="506" t="s">
        <v>411</v>
      </c>
      <c r="E94" s="531" t="s">
        <v>744</v>
      </c>
      <c r="F94" s="531" t="s">
        <v>743</v>
      </c>
      <c r="G94" t="s">
        <v>747</v>
      </c>
      <c r="H94" t="s">
        <v>722</v>
      </c>
    </row>
    <row r="95" spans="4:8" x14ac:dyDescent="0.25">
      <c r="D95" s="506" t="s">
        <v>411</v>
      </c>
      <c r="E95" s="531" t="s">
        <v>744</v>
      </c>
      <c r="F95" s="531" t="s">
        <v>743</v>
      </c>
      <c r="G95" t="s">
        <v>748</v>
      </c>
      <c r="H95" t="s">
        <v>723</v>
      </c>
    </row>
    <row r="96" spans="4:8" x14ac:dyDescent="0.25">
      <c r="D96" s="506" t="s">
        <v>412</v>
      </c>
      <c r="E96" s="531" t="s">
        <v>744</v>
      </c>
      <c r="F96" s="531" t="s">
        <v>743</v>
      </c>
      <c r="G96" t="s">
        <v>749</v>
      </c>
      <c r="H96" t="s">
        <v>722</v>
      </c>
    </row>
    <row r="97" spans="4:8" x14ac:dyDescent="0.25">
      <c r="D97" s="506" t="s">
        <v>412</v>
      </c>
      <c r="E97" s="531" t="s">
        <v>744</v>
      </c>
      <c r="F97" s="531" t="s">
        <v>743</v>
      </c>
      <c r="G97" t="s">
        <v>750</v>
      </c>
      <c r="H97" t="s">
        <v>723</v>
      </c>
    </row>
    <row r="98" spans="4:8" x14ac:dyDescent="0.25">
      <c r="D98" s="506" t="s">
        <v>441</v>
      </c>
      <c r="E98" s="531" t="s">
        <v>744</v>
      </c>
      <c r="F98" s="531" t="s">
        <v>743</v>
      </c>
      <c r="G98" t="s">
        <v>751</v>
      </c>
      <c r="H98" t="s">
        <v>722</v>
      </c>
    </row>
    <row r="99" spans="4:8" x14ac:dyDescent="0.25">
      <c r="D99" s="506" t="s">
        <v>441</v>
      </c>
      <c r="E99" s="531" t="s">
        <v>744</v>
      </c>
      <c r="F99" s="531" t="s">
        <v>743</v>
      </c>
      <c r="G99" t="s">
        <v>752</v>
      </c>
      <c r="H99" t="s">
        <v>723</v>
      </c>
    </row>
  </sheetData>
  <mergeCells count="1">
    <mergeCell ref="L78:Q78"/>
  </mergeCells>
  <phoneticPr fontId="123" type="noConversion"/>
  <dataValidations count="3">
    <dataValidation type="list" allowBlank="1" showInputMessage="1" showErrorMessage="1" sqref="D10" xr:uid="{00000000-0002-0000-0200-000000000000}">
      <formula1>INDIRECT("T_Семестри[Семестър]")</formula1>
    </dataValidation>
    <dataValidation type="list" allowBlank="1" showInputMessage="1" showErrorMessage="1" sqref="D9" xr:uid="{00000000-0002-0000-0200-000001000000}">
      <formula1>INDIRECT("T_УчебнаГодина")</formula1>
    </dataValidation>
    <dataValidation allowBlank="1" showInputMessage="1" showErrorMessage="1" promptTitle="ожгжогожг" sqref="L78" xr:uid="{A14D9D93-D208-4526-8FAE-5426D28141E9}"/>
  </dataValidations>
  <pageMargins left="0.7" right="0.7" top="0.75" bottom="0.75" header="0.3" footer="0.3"/>
  <pageSetup paperSize="9" orientation="portrait" r:id="rId1"/>
  <ignoredErrors>
    <ignoredError sqref="I46:I47" evalError="1"/>
    <ignoredError sqref="R4:R7 Q4:Q7 P4:P7 O4:O7" calculatedColumn="1"/>
  </ignoredErrors>
  <drawing r:id="rId2"/>
  <legacyDrawing r:id="rId3"/>
  <tableParts count="4"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G30"/>
  <sheetViews>
    <sheetView workbookViewId="0">
      <selection activeCell="B7" sqref="B7:L7"/>
    </sheetView>
  </sheetViews>
  <sheetFormatPr defaultRowHeight="15" x14ac:dyDescent="0.25"/>
  <cols>
    <col min="1" max="1" width="10.140625" bestFit="1" customWidth="1"/>
    <col min="2" max="2" width="61.42578125" style="77" customWidth="1"/>
    <col min="4" max="4" width="5.85546875" customWidth="1"/>
    <col min="5" max="5" width="78.85546875" customWidth="1"/>
  </cols>
  <sheetData>
    <row r="1" spans="1:7" x14ac:dyDescent="0.25">
      <c r="B1" s="1065" t="s">
        <v>175</v>
      </c>
      <c r="C1" s="1065"/>
      <c r="D1" s="1065"/>
      <c r="E1" s="1065"/>
    </row>
    <row r="4" spans="1:7" x14ac:dyDescent="0.25">
      <c r="A4" t="s">
        <v>511</v>
      </c>
      <c r="B4" s="78" t="s">
        <v>173</v>
      </c>
      <c r="E4" s="74" t="s">
        <v>174</v>
      </c>
      <c r="G4" t="s">
        <v>511</v>
      </c>
    </row>
    <row r="5" spans="1:7" ht="39.75" customHeight="1" x14ac:dyDescent="0.25">
      <c r="A5" s="262">
        <v>43678</v>
      </c>
      <c r="B5" s="266" t="s">
        <v>512</v>
      </c>
      <c r="E5" s="1066" t="s">
        <v>179</v>
      </c>
    </row>
    <row r="6" spans="1:7" ht="20.25" customHeight="1" x14ac:dyDescent="0.25">
      <c r="A6" s="262">
        <v>43374</v>
      </c>
      <c r="B6" s="263" t="s">
        <v>177</v>
      </c>
      <c r="E6" s="1066"/>
    </row>
    <row r="7" spans="1:7" ht="43.5" customHeight="1" x14ac:dyDescent="0.25">
      <c r="A7" s="262">
        <v>43374</v>
      </c>
      <c r="B7" s="264" t="s">
        <v>178</v>
      </c>
      <c r="E7" s="1066"/>
    </row>
    <row r="8" spans="1:7" ht="22.5" customHeight="1" x14ac:dyDescent="0.25">
      <c r="A8" s="262">
        <v>43374</v>
      </c>
      <c r="B8" s="263" t="s">
        <v>180</v>
      </c>
      <c r="E8" s="79"/>
    </row>
    <row r="9" spans="1:7" ht="22.5" customHeight="1" x14ac:dyDescent="0.25">
      <c r="A9" s="262">
        <v>43374</v>
      </c>
      <c r="B9" s="264" t="s">
        <v>171</v>
      </c>
      <c r="E9" s="1064"/>
    </row>
    <row r="10" spans="1:7" ht="35.25" customHeight="1" x14ac:dyDescent="0.25">
      <c r="A10" s="262">
        <v>43374</v>
      </c>
      <c r="B10" s="264" t="s">
        <v>172</v>
      </c>
      <c r="E10" s="1064"/>
    </row>
    <row r="11" spans="1:7" ht="35.25" customHeight="1" x14ac:dyDescent="0.25">
      <c r="A11" s="262">
        <v>43374</v>
      </c>
      <c r="B11" s="263" t="s">
        <v>176</v>
      </c>
      <c r="E11" s="80"/>
    </row>
    <row r="12" spans="1:7" ht="38.25" customHeight="1" x14ac:dyDescent="0.25">
      <c r="A12" s="262">
        <v>43374</v>
      </c>
      <c r="B12" s="263" t="s">
        <v>191</v>
      </c>
      <c r="E12" s="80"/>
    </row>
    <row r="13" spans="1:7" s="75" customFormat="1" ht="42" customHeight="1" x14ac:dyDescent="0.25">
      <c r="A13" s="262">
        <v>43374</v>
      </c>
      <c r="B13" s="263" t="s">
        <v>182</v>
      </c>
      <c r="E13" s="80"/>
    </row>
    <row r="14" spans="1:7" ht="38.25" customHeight="1" x14ac:dyDescent="0.25">
      <c r="A14" s="262">
        <v>43374</v>
      </c>
      <c r="B14" s="263" t="s">
        <v>186</v>
      </c>
    </row>
    <row r="15" spans="1:7" ht="25.5" customHeight="1" x14ac:dyDescent="0.25">
      <c r="A15" s="262">
        <v>43374</v>
      </c>
      <c r="B15" s="263" t="s">
        <v>185</v>
      </c>
    </row>
    <row r="16" spans="1:7" ht="36" customHeight="1" x14ac:dyDescent="0.25">
      <c r="A16" s="262">
        <v>43374</v>
      </c>
      <c r="B16" s="264" t="s">
        <v>189</v>
      </c>
    </row>
    <row r="17" spans="1:5" ht="57" customHeight="1" x14ac:dyDescent="0.25">
      <c r="A17" s="262">
        <v>43374</v>
      </c>
      <c r="B17" s="263" t="s">
        <v>190</v>
      </c>
    </row>
    <row r="18" spans="1:5" ht="39" customHeight="1" x14ac:dyDescent="0.25">
      <c r="A18" s="262">
        <v>43374</v>
      </c>
      <c r="B18" s="263" t="s">
        <v>195</v>
      </c>
    </row>
    <row r="19" spans="1:5" ht="19.5" customHeight="1" x14ac:dyDescent="0.25">
      <c r="A19" s="262">
        <v>43374</v>
      </c>
      <c r="B19" s="263" t="s">
        <v>196</v>
      </c>
    </row>
    <row r="20" spans="1:5" ht="19.5" customHeight="1" x14ac:dyDescent="0.25">
      <c r="A20" s="262">
        <v>43374</v>
      </c>
      <c r="B20" s="264" t="s">
        <v>197</v>
      </c>
    </row>
    <row r="21" spans="1:5" ht="19.5" customHeight="1" x14ac:dyDescent="0.25">
      <c r="A21" s="262">
        <v>43374</v>
      </c>
      <c r="B21" s="265" t="s">
        <v>202</v>
      </c>
    </row>
    <row r="22" spans="1:5" ht="19.5" customHeight="1" x14ac:dyDescent="0.25">
      <c r="A22" s="262">
        <v>43374</v>
      </c>
      <c r="B22" s="263" t="s">
        <v>198</v>
      </c>
    </row>
    <row r="23" spans="1:5" ht="19.5" customHeight="1" x14ac:dyDescent="0.25">
      <c r="A23" s="262">
        <v>43374</v>
      </c>
      <c r="B23" s="264" t="s">
        <v>199</v>
      </c>
    </row>
    <row r="24" spans="1:5" x14ac:dyDescent="0.25">
      <c r="A24" s="262">
        <v>43374</v>
      </c>
      <c r="B24" s="264" t="s">
        <v>200</v>
      </c>
    </row>
    <row r="25" spans="1:5" ht="30" x14ac:dyDescent="0.25">
      <c r="A25" s="262">
        <v>43374</v>
      </c>
      <c r="B25" s="86" t="s">
        <v>203</v>
      </c>
    </row>
    <row r="26" spans="1:5" x14ac:dyDescent="0.25">
      <c r="A26" s="262">
        <v>43374</v>
      </c>
      <c r="B26" s="77" t="s">
        <v>204</v>
      </c>
    </row>
    <row r="27" spans="1:5" x14ac:dyDescent="0.25">
      <c r="A27" s="262">
        <v>43374</v>
      </c>
      <c r="B27" s="77" t="s">
        <v>207</v>
      </c>
    </row>
    <row r="28" spans="1:5" x14ac:dyDescent="0.25">
      <c r="A28" s="262">
        <v>43374</v>
      </c>
      <c r="B28" s="77" t="s">
        <v>212</v>
      </c>
      <c r="E28" t="s">
        <v>208</v>
      </c>
    </row>
    <row r="29" spans="1:5" ht="45" x14ac:dyDescent="0.25">
      <c r="A29" s="262">
        <v>43374</v>
      </c>
      <c r="B29" s="86" t="s">
        <v>213</v>
      </c>
    </row>
    <row r="30" spans="1:5" ht="45" x14ac:dyDescent="0.25">
      <c r="A30" s="262">
        <v>43374</v>
      </c>
      <c r="B30" s="101" t="s">
        <v>294</v>
      </c>
    </row>
  </sheetData>
  <mergeCells count="3">
    <mergeCell ref="E9:E10"/>
    <mergeCell ref="B1:E1"/>
    <mergeCell ref="E5:E7"/>
  </mergeCells>
  <pageMargins left="0.7" right="0.7" top="0.75" bottom="0.75" header="0.3" footer="0.3"/>
  <pageSetup orientation="portrait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9" tint="-0.249977111117893"/>
    <pageSetUpPr fitToPage="1"/>
  </sheetPr>
  <dimension ref="A1:AN89"/>
  <sheetViews>
    <sheetView zoomScale="70" zoomScaleNormal="70" workbookViewId="0">
      <selection activeCell="H55" sqref="H55:K55"/>
    </sheetView>
  </sheetViews>
  <sheetFormatPr defaultRowHeight="15" x14ac:dyDescent="0.25"/>
  <cols>
    <col min="1" max="1" width="2.5703125" style="38" customWidth="1"/>
    <col min="2" max="3" width="11.5703125" style="1" customWidth="1"/>
    <col min="4" max="4" width="16.5703125" style="1" customWidth="1"/>
    <col min="5" max="7" width="14.140625" style="1" customWidth="1"/>
    <col min="8" max="8" width="14.28515625" style="1" customWidth="1"/>
    <col min="9" max="9" width="14.7109375" style="1" customWidth="1"/>
    <col min="10" max="11" width="14.28515625" style="1" customWidth="1"/>
    <col min="12" max="12" width="13.85546875" style="1" bestFit="1" customWidth="1"/>
    <col min="13" max="13" width="8.7109375" customWidth="1"/>
    <col min="14" max="14" width="4.140625" style="38" hidden="1" customWidth="1"/>
    <col min="15" max="16" width="10.7109375" style="38" hidden="1" customWidth="1"/>
    <col min="17" max="17" width="6.140625" style="38" hidden="1" customWidth="1"/>
    <col min="18" max="18" width="9.42578125" style="38" hidden="1" customWidth="1"/>
    <col min="19" max="19" width="3.7109375" style="38" hidden="1" customWidth="1"/>
    <col min="20" max="20" width="5.28515625" style="38" customWidth="1"/>
    <col min="21" max="21" width="16.7109375" style="38" bestFit="1" customWidth="1"/>
    <col min="22" max="16384" width="9.140625" style="38"/>
  </cols>
  <sheetData>
    <row r="1" spans="2:40" ht="15.75" x14ac:dyDescent="0.25">
      <c r="B1" s="1164" t="s">
        <v>0</v>
      </c>
      <c r="C1" s="1164"/>
      <c r="D1" s="1164"/>
      <c r="E1" s="1164"/>
      <c r="F1" s="1164"/>
      <c r="G1" s="1164"/>
      <c r="H1" s="1164"/>
      <c r="I1" s="1164"/>
      <c r="J1" s="1164"/>
      <c r="K1" s="1164"/>
      <c r="L1" s="1164"/>
    </row>
    <row r="2" spans="2:40" ht="51" customHeight="1" x14ac:dyDescent="0.25">
      <c r="B2" s="1167" t="s">
        <v>165</v>
      </c>
      <c r="C2" s="1164"/>
      <c r="D2" s="1164"/>
      <c r="E2" s="1164"/>
      <c r="F2" s="1164"/>
      <c r="G2" s="1164"/>
      <c r="H2" s="1164"/>
      <c r="I2" s="1164"/>
      <c r="J2" s="1164"/>
      <c r="K2" s="1164"/>
      <c r="L2" s="1164"/>
    </row>
    <row r="3" spans="2:40" s="39" customFormat="1" ht="42.75" customHeight="1" x14ac:dyDescent="0.3">
      <c r="B3" s="1168" t="s">
        <v>1</v>
      </c>
      <c r="C3" s="1169"/>
      <c r="D3" s="591" t="s">
        <v>2</v>
      </c>
      <c r="E3" s="591" t="s">
        <v>3</v>
      </c>
      <c r="F3" s="1163" t="s">
        <v>128</v>
      </c>
      <c r="G3" s="1163"/>
      <c r="H3" s="592" t="s">
        <v>67</v>
      </c>
      <c r="I3" s="592" t="s">
        <v>152</v>
      </c>
      <c r="J3" s="592" t="s">
        <v>132</v>
      </c>
      <c r="K3" s="592" t="s">
        <v>151</v>
      </c>
      <c r="L3" s="593" t="s">
        <v>119</v>
      </c>
      <c r="M3"/>
    </row>
    <row r="4" spans="2:40" ht="18" x14ac:dyDescent="0.25">
      <c r="B4" s="1171" t="s">
        <v>297</v>
      </c>
      <c r="C4" s="1171"/>
      <c r="D4" s="1171"/>
      <c r="E4" s="1171"/>
      <c r="F4" s="1171"/>
      <c r="G4" s="1171"/>
      <c r="H4" s="1171"/>
      <c r="I4" s="1171"/>
      <c r="J4" s="1171"/>
      <c r="K4" s="1171"/>
      <c r="L4" s="1171"/>
    </row>
    <row r="6" spans="2:40" ht="18" x14ac:dyDescent="0.25">
      <c r="B6" s="1166" t="str">
        <f>T(IF(Семестър="План",'1. План'!B7,'1. Отчет'!B7))</f>
        <v/>
      </c>
      <c r="C6" s="1166" t="e">
        <f>IF(Семестър="План",'1. План'!#REF!,'1. Отчет'!#REF!)</f>
        <v>#REF!</v>
      </c>
      <c r="D6" s="1166" t="e">
        <f>IF(Семестър="План",'1. План'!#REF!,'1. Отчет'!#REF!)</f>
        <v>#REF!</v>
      </c>
      <c r="E6" s="1166" t="e">
        <f>IF(Семестър="План",'1. План'!#REF!,'1. Отчет'!#REF!)</f>
        <v>#REF!</v>
      </c>
      <c r="F6" s="1166" t="e">
        <f>IF(Семестър="План",'1. План'!#REF!,'1. Отчет'!#REF!)</f>
        <v>#REF!</v>
      </c>
      <c r="G6" s="1166" t="e">
        <f>IF(Семестър="План",'1. План'!#REF!,'1. Отчет'!#REF!)</f>
        <v>#REF!</v>
      </c>
      <c r="H6" s="1166" t="e">
        <f>IF(Семестър="План",'1. План'!#REF!,'1. Отчет'!#REF!)</f>
        <v>#REF!</v>
      </c>
      <c r="I6" s="1166" t="e">
        <f>IF(Семестър="План",'1. План'!#REF!,'1. Отчет'!#REF!)</f>
        <v>#REF!</v>
      </c>
      <c r="J6" s="1166" t="e">
        <f>IF(Семестър="План",'1. План'!#REF!,'1. Отчет'!#REF!)</f>
        <v>#REF!</v>
      </c>
      <c r="K6" s="1166" t="e">
        <f>IF(Семестър="План",'1. План'!#REF!,'1. Отчет'!#REF!)</f>
        <v>#REF!</v>
      </c>
      <c r="L6" s="1166" t="e">
        <f>IF(Семестър="План",'1. План'!#REF!,'1. Отчет'!#REF!)</f>
        <v>#REF!</v>
      </c>
      <c r="O6"/>
      <c r="P6"/>
      <c r="Q6"/>
      <c r="R6"/>
      <c r="S6"/>
      <c r="T6"/>
      <c r="U6"/>
    </row>
    <row r="7" spans="2:40" ht="21" customHeight="1" x14ac:dyDescent="0.25">
      <c r="B7" s="1172" t="s">
        <v>5</v>
      </c>
      <c r="C7" s="1172"/>
      <c r="D7" s="1172"/>
      <c r="E7" s="1172"/>
      <c r="F7" s="1172"/>
      <c r="G7" s="1172"/>
      <c r="H7" s="1172"/>
      <c r="I7" s="1172"/>
      <c r="J7" s="1172"/>
      <c r="K7" s="1172"/>
      <c r="L7" s="1172"/>
      <c r="O7"/>
      <c r="P7"/>
      <c r="Q7"/>
      <c r="R7"/>
      <c r="S7"/>
      <c r="T7"/>
      <c r="U7"/>
    </row>
    <row r="8" spans="2:40" ht="18" x14ac:dyDescent="0.25">
      <c r="B8" s="1170" t="str">
        <f>T(IF(Семестър="План",'1. План'!B9,'1. Отчет'!B9))</f>
        <v/>
      </c>
      <c r="C8" s="1170"/>
      <c r="D8" s="1170"/>
      <c r="E8" s="1170"/>
      <c r="F8" s="1170"/>
      <c r="G8" s="1170"/>
      <c r="H8" s="1170"/>
      <c r="I8" s="1170"/>
      <c r="J8" s="1170"/>
      <c r="K8" s="1170"/>
      <c r="L8" s="1170"/>
      <c r="O8"/>
      <c r="P8"/>
      <c r="Q8"/>
      <c r="R8"/>
      <c r="S8"/>
      <c r="T8"/>
      <c r="U8"/>
    </row>
    <row r="9" spans="2:40" x14ac:dyDescent="0.25">
      <c r="B9" s="1165" t="s">
        <v>6</v>
      </c>
      <c r="C9" s="1165"/>
      <c r="D9" s="1165"/>
      <c r="E9" s="1165"/>
      <c r="F9" s="1165"/>
      <c r="G9" s="1165"/>
      <c r="H9" s="1165"/>
      <c r="I9" s="1165"/>
      <c r="J9" s="1165"/>
      <c r="K9" s="1165"/>
      <c r="L9" s="1165"/>
      <c r="O9"/>
      <c r="P9"/>
      <c r="Q9"/>
      <c r="R9"/>
      <c r="S9"/>
      <c r="T9"/>
      <c r="U9"/>
    </row>
    <row r="10" spans="2:40" ht="15.75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O10"/>
      <c r="P10"/>
      <c r="Q10"/>
      <c r="R10"/>
      <c r="S10"/>
      <c r="T10"/>
      <c r="U10"/>
    </row>
    <row r="11" spans="2:40" ht="27.75" x14ac:dyDescent="0.4">
      <c r="B11" s="1175" t="s">
        <v>7</v>
      </c>
      <c r="C11" s="1175"/>
      <c r="D11" s="1175"/>
      <c r="E11" s="1175"/>
      <c r="F11" s="1175"/>
      <c r="G11" s="1175"/>
      <c r="H11" s="1175"/>
      <c r="I11" s="1175"/>
      <c r="J11" s="1175"/>
      <c r="K11" s="1175"/>
      <c r="L11" s="1175"/>
      <c r="O11"/>
      <c r="P11"/>
      <c r="Q11"/>
      <c r="R11"/>
      <c r="S11"/>
      <c r="T11"/>
      <c r="U11"/>
    </row>
    <row r="12" spans="2:40" x14ac:dyDescent="0.25">
      <c r="B12" s="1176"/>
      <c r="C12" s="1176"/>
      <c r="D12" s="1176"/>
      <c r="E12" s="1176"/>
      <c r="F12" s="1176"/>
      <c r="G12" s="1176"/>
      <c r="H12" s="1176"/>
      <c r="I12" s="1176"/>
      <c r="J12" s="1176"/>
      <c r="K12" s="37"/>
      <c r="L12" s="37"/>
      <c r="N12" s="637"/>
      <c r="O12" s="637" t="b">
        <f>IFERROR(AND(O13:P13,Q14),FALSE)</f>
        <v>0</v>
      </c>
      <c r="P12" s="637"/>
      <c r="Q12" s="637"/>
      <c r="R12" s="637"/>
      <c r="S12"/>
      <c r="T12"/>
      <c r="U12"/>
    </row>
    <row r="13" spans="2:40" ht="23.25" x14ac:dyDescent="0.25">
      <c r="B13" s="1199" t="str">
        <f>T(IF(Семестър="План",'1. План'!B14,'1. Отчет'!B14))</f>
        <v/>
      </c>
      <c r="C13" s="1200"/>
      <c r="D13" s="1200"/>
      <c r="E13" s="1200"/>
      <c r="F13" s="1201" t="str">
        <f>T(IF(Семестър="План",'1. План'!F14,'1. Отчет'!F14))</f>
        <v/>
      </c>
      <c r="G13" s="1202"/>
      <c r="H13" s="1202"/>
      <c r="I13" s="1202"/>
      <c r="J13" s="1202"/>
      <c r="K13" s="1202"/>
      <c r="L13" s="1203"/>
      <c r="N13" s="637"/>
      <c r="O13" s="646" t="b">
        <f>IFERROR(AND(O15:O19,O14),FALSE)</f>
        <v>0</v>
      </c>
      <c r="P13" s="646" t="b">
        <f>IFERROR(AND(P15:P19,Q14),FALSE)</f>
        <v>0</v>
      </c>
      <c r="Q13" s="637"/>
      <c r="R13" s="637"/>
      <c r="S13"/>
      <c r="T13"/>
      <c r="U13"/>
    </row>
    <row r="14" spans="2:40" x14ac:dyDescent="0.25">
      <c r="B14" s="1145" t="s">
        <v>624</v>
      </c>
      <c r="C14" s="1145"/>
      <c r="D14" s="1145"/>
      <c r="E14" s="1145"/>
      <c r="F14" s="1146" t="s">
        <v>625</v>
      </c>
      <c r="G14" s="1146"/>
      <c r="H14" s="1146"/>
      <c r="I14" s="1146"/>
      <c r="J14" s="1146"/>
      <c r="K14" s="1146"/>
      <c r="L14" s="1146"/>
      <c r="N14" s="637"/>
      <c r="O14" s="638">
        <f>IFERROR(DATE(O19,O18,O17),0)</f>
        <v>0</v>
      </c>
      <c r="P14" s="638">
        <f>IFERROR(DATE(P19,P18,P17),0)</f>
        <v>0</v>
      </c>
      <c r="Q14" s="637" t="b">
        <f>O14&lt;P14</f>
        <v>0</v>
      </c>
      <c r="R14" s="637"/>
      <c r="S14"/>
      <c r="T14"/>
      <c r="U14"/>
    </row>
    <row r="15" spans="2:40" x14ac:dyDescent="0.25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N15" s="637"/>
      <c r="O15" s="637">
        <f>IFERROR(SEARCH(".",J21),0)</f>
        <v>0</v>
      </c>
      <c r="P15" s="637">
        <f>IFERROR(SEARCH(".",L21),0)</f>
        <v>0</v>
      </c>
      <c r="Q15" s="637"/>
      <c r="R15" s="637"/>
      <c r="S15"/>
      <c r="T15"/>
      <c r="U15"/>
    </row>
    <row r="16" spans="2:40" ht="30" customHeight="1" x14ac:dyDescent="0.25">
      <c r="B16" s="1183" t="s">
        <v>296</v>
      </c>
      <c r="C16" s="1183"/>
      <c r="D16" s="1183"/>
      <c r="E16" s="1184"/>
      <c r="F16" s="1185"/>
      <c r="G16" s="1185"/>
      <c r="H16" s="1185"/>
      <c r="I16" s="1185"/>
      <c r="J16" s="1185"/>
      <c r="K16" s="1185"/>
      <c r="L16" s="1186"/>
      <c r="N16" s="637"/>
      <c r="O16" s="637">
        <f>IFERROR(SEARCH(".",J21,O15+1),0)</f>
        <v>0</v>
      </c>
      <c r="P16" s="637">
        <f>IFERROR(SEARCH(".",L21,P15+1),0)</f>
        <v>0</v>
      </c>
      <c r="Q16" s="637"/>
      <c r="R16" s="637"/>
      <c r="S16"/>
      <c r="T16"/>
      <c r="U16"/>
      <c r="AI16"/>
      <c r="AJ16"/>
      <c r="AN16" s="122">
        <f>$AN$6</f>
        <v>0</v>
      </c>
    </row>
    <row r="17" spans="2:36" x14ac:dyDescent="0.25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N17" s="642" t="s">
        <v>551</v>
      </c>
      <c r="O17" s="637">
        <f>IF(AND(Q17&gt;=1,Q17&lt;=DAY(DATE(O19,O18+1,0))),Q17,0)</f>
        <v>0</v>
      </c>
      <c r="P17" s="637">
        <f>IF(AND(R17&gt;=1,R17&lt;=DAY(DATE(P19,P18+1,0))),R17,0)</f>
        <v>0</v>
      </c>
      <c r="Q17" s="637">
        <f>IFERROR(VALUE(LEFT(J21,O15-1)),0)</f>
        <v>0</v>
      </c>
      <c r="R17" s="637">
        <f>IFERROR(VALUE(LEFT(L21,P15-1)),0)</f>
        <v>0</v>
      </c>
      <c r="S17"/>
      <c r="T17"/>
      <c r="U17"/>
      <c r="AI17"/>
      <c r="AJ17"/>
    </row>
    <row r="18" spans="2:36" ht="16.5" customHeight="1" x14ac:dyDescent="0.25">
      <c r="B18" s="1177" t="s">
        <v>8</v>
      </c>
      <c r="C18" s="1177"/>
      <c r="D18" s="1177"/>
      <c r="E18" s="1179" t="str">
        <f>IF(Семестър="План",'1. План'!E19,'1. Отчет'!E19)</f>
        <v>Не</v>
      </c>
      <c r="F18" s="1179"/>
      <c r="G18" s="1179"/>
      <c r="H18" s="1179"/>
      <c r="I18" s="1179"/>
      <c r="J18" s="1179"/>
      <c r="K18" s="1179"/>
      <c r="L18" s="1179"/>
      <c r="N18" s="642" t="s">
        <v>552</v>
      </c>
      <c r="O18" s="637">
        <f>IF(AND(Q18&gt;=1,Q18&lt;=12),Q18,0)</f>
        <v>0</v>
      </c>
      <c r="P18" s="637">
        <f>IF(AND(R18&gt;=1,R18&lt;=12),R18,0)</f>
        <v>0</v>
      </c>
      <c r="Q18" s="637">
        <f>IFERROR(VALUE(MID(J21,O15+1,O16-O15-1)),0)</f>
        <v>0</v>
      </c>
      <c r="R18" s="637">
        <f>IFERROR(VALUE(MID(L21,P15+1,P16-P15-1)),0)</f>
        <v>0</v>
      </c>
      <c r="S18"/>
      <c r="T18"/>
      <c r="U18"/>
    </row>
    <row r="19" spans="2:36" x14ac:dyDescent="0.25">
      <c r="B19" s="1178" t="s">
        <v>164</v>
      </c>
      <c r="C19" s="1178"/>
      <c r="D19" s="1178"/>
      <c r="E19" s="1180" t="str">
        <f>IF(E18=0,list!B82,VLOOKUP(E18,RakovodnaDl[],2,0))</f>
        <v>няма определена</v>
      </c>
      <c r="F19" s="1180"/>
      <c r="G19" s="1180"/>
      <c r="H19" s="1180"/>
      <c r="I19" s="1180"/>
      <c r="J19" s="1180"/>
      <c r="K19" s="1180"/>
      <c r="L19" s="1180"/>
      <c r="N19" s="642" t="s">
        <v>553</v>
      </c>
      <c r="O19" s="637">
        <f>IF(AND(Q19&gt;=YEAR(O23)-1,Q19&lt;=YEAR(P23)),Q19,0)</f>
        <v>0</v>
      </c>
      <c r="P19" s="637">
        <f>IF(R19&gt;=YEAR(O23),R19,0)</f>
        <v>0</v>
      </c>
      <c r="Q19" s="637">
        <f>IFERROR(VALUE(RIGHT(J21,O21-O16)),0)</f>
        <v>0</v>
      </c>
      <c r="R19" s="637">
        <f>IFERROR(VALUE(RIGHT(L21,P21-P16)),0)</f>
        <v>0</v>
      </c>
      <c r="S19"/>
      <c r="T19"/>
      <c r="U19"/>
    </row>
    <row r="20" spans="2:36" ht="9.9499999999999993" customHeight="1" x14ac:dyDescent="0.25">
      <c r="B20"/>
      <c r="C20"/>
      <c r="D20"/>
      <c r="E20"/>
      <c r="F20"/>
      <c r="G20"/>
      <c r="H20"/>
      <c r="I20"/>
      <c r="J20"/>
      <c r="K20"/>
      <c r="L20"/>
      <c r="N20" s="639"/>
      <c r="O20" s="639"/>
      <c r="P20" s="639"/>
      <c r="Q20" s="639"/>
      <c r="R20" s="639"/>
      <c r="S20"/>
      <c r="T20"/>
      <c r="U20"/>
    </row>
    <row r="21" spans="2:36" s="361" customFormat="1" ht="20.100000000000001" customHeight="1" x14ac:dyDescent="0.3">
      <c r="B21" s="362" t="s">
        <v>527</v>
      </c>
      <c r="C21" s="363" t="s">
        <v>528</v>
      </c>
      <c r="D21" s="364" t="str">
        <f>IF(Семестър="План",T('1. План'!D22),T('1. Отчет'!D22))</f>
        <v/>
      </c>
      <c r="E21" s="363" t="s">
        <v>529</v>
      </c>
      <c r="F21" s="1196" t="str">
        <f>IF(Семестър="План",T('1. План'!F22),T('1. Отчет'!F22:H22))</f>
        <v/>
      </c>
      <c r="G21" s="1197"/>
      <c r="H21" s="1198"/>
      <c r="I21" s="363" t="s">
        <v>530</v>
      </c>
      <c r="J21" s="365" t="str">
        <f>IF(Семестър="План",T('1. План'!J22),T('1. Отчет'!J22))</f>
        <v/>
      </c>
      <c r="K21" s="366" t="s">
        <v>531</v>
      </c>
      <c r="L21" s="365" t="str">
        <f>IF(Семестър="План",T('1. План'!L22),T('1. Отчет'!L22))</f>
        <v/>
      </c>
      <c r="M21"/>
      <c r="N21" s="640"/>
      <c r="O21" s="647">
        <f>LEN(J21)</f>
        <v>0</v>
      </c>
      <c r="P21" s="647">
        <f>LEN(L21)</f>
        <v>0</v>
      </c>
      <c r="Q21" s="641"/>
      <c r="R21" s="641"/>
      <c r="S21"/>
      <c r="T21"/>
      <c r="U21"/>
    </row>
    <row r="22" spans="2:36" customFormat="1" ht="9.9499999999999993" customHeight="1" thickBot="1" x14ac:dyDescent="0.3"/>
    <row r="23" spans="2:36" ht="33" customHeight="1" x14ac:dyDescent="0.25">
      <c r="B23" s="1191" t="s">
        <v>437</v>
      </c>
      <c r="C23" s="1192"/>
      <c r="D23" s="1187" t="str">
        <f>ПЕРИОД!D9</f>
        <v>2020/2021</v>
      </c>
      <c r="E23" s="1187"/>
      <c r="F23" s="1187"/>
      <c r="G23" s="1188"/>
      <c r="H23" s="1181" t="s">
        <v>156</v>
      </c>
      <c r="I23" s="1182"/>
      <c r="J23" s="1195" t="s">
        <v>68</v>
      </c>
      <c r="K23" s="1195"/>
      <c r="L23" s="1173" t="s">
        <v>69</v>
      </c>
      <c r="O23" s="635">
        <f>DATE(VALUE(LEFT(D23,4)),10,1)</f>
        <v>44105</v>
      </c>
      <c r="P23" s="635">
        <f>DATE(VALUE(RIGHT(D23,4)),10,1)</f>
        <v>44470</v>
      </c>
    </row>
    <row r="24" spans="2:36" ht="16.5" customHeight="1" thickBot="1" x14ac:dyDescent="0.3">
      <c r="B24" s="1193"/>
      <c r="C24" s="1194"/>
      <c r="D24" s="1189"/>
      <c r="E24" s="1189"/>
      <c r="F24" s="1189"/>
      <c r="G24" s="1190"/>
      <c r="H24" s="379" t="s">
        <v>538</v>
      </c>
      <c r="I24" s="380" t="s">
        <v>539</v>
      </c>
      <c r="J24" s="624" t="str">
        <f>H24</f>
        <v>зимен сем.</v>
      </c>
      <c r="K24" s="625" t="str">
        <f>I24</f>
        <v>летен сем.</v>
      </c>
      <c r="L24" s="1174"/>
      <c r="O24" s="636">
        <f>IF(O13,IF(O14&gt;=O23,O14,O23),0)</f>
        <v>0</v>
      </c>
      <c r="P24" s="636">
        <f>IF(P13,IF(P14&lt;=P23,P14,P23),0)</f>
        <v>0</v>
      </c>
    </row>
    <row r="25" spans="2:36" s="114" customFormat="1" ht="24.95" customHeight="1" thickBot="1" x14ac:dyDescent="0.3">
      <c r="B25" s="1073" t="s">
        <v>9</v>
      </c>
      <c r="C25" s="1074"/>
      <c r="D25" s="1074"/>
      <c r="E25" s="1074"/>
      <c r="F25" s="1074"/>
      <c r="G25" s="1074"/>
      <c r="H25" s="1074"/>
      <c r="I25" s="1074"/>
      <c r="J25" s="1074"/>
      <c r="K25" s="1074"/>
      <c r="L25" s="1075"/>
      <c r="M25"/>
      <c r="N25" s="38"/>
      <c r="O25"/>
      <c r="P25"/>
      <c r="Q25" s="38"/>
      <c r="R25" s="38"/>
    </row>
    <row r="26" spans="2:36" ht="20.100000000000001" customHeight="1" thickBot="1" x14ac:dyDescent="0.3">
      <c r="B26" s="1081" t="s">
        <v>426</v>
      </c>
      <c r="C26" s="1082"/>
      <c r="D26" s="1082"/>
      <c r="E26" s="1082"/>
      <c r="F26" s="1082"/>
      <c r="G26" s="1082"/>
      <c r="H26" s="622">
        <f>IFERROR(ROUND(SUMIF(BAZZS[Език],"БЕ",BAZZS[чЛекции]),1),0)</f>
        <v>0</v>
      </c>
      <c r="I26" s="367">
        <f>IFERROR(ROUND(SUMIF(BAZLS[Език],"БЕ",BAZLS[чЛекции]),1),0)</f>
        <v>0</v>
      </c>
      <c r="J26" s="620">
        <f>IFERROR(ROUND(SUMIF(MAZZS[Език],"БЕ",MAZZS[чЛекции]),1),0)</f>
        <v>0</v>
      </c>
      <c r="K26" s="616">
        <f>IFERROR(ROUND(SUMIF(MAZLS[Език],"БЕ",MAZLS[чЛекции]),1),0)</f>
        <v>0</v>
      </c>
      <c r="L26" s="618">
        <f>IFERROR(ROUND(SUMIF(DrAZ[кСеместър],CHOOSE(ПЕРИОД!D15,"*","зимен","летен","*")&amp;"|БЕ",DrAZ[чЛекции]),1),0)</f>
        <v>0</v>
      </c>
      <c r="O26"/>
      <c r="P26"/>
      <c r="Q26" s="644" t="b">
        <v>0</v>
      </c>
      <c r="R26" s="645" t="s">
        <v>527</v>
      </c>
    </row>
    <row r="27" spans="2:36" ht="20.100000000000001" customHeight="1" x14ac:dyDescent="0.25">
      <c r="B27" s="1089" t="s">
        <v>427</v>
      </c>
      <c r="C27" s="1090"/>
      <c r="D27" s="1090"/>
      <c r="E27" s="1090"/>
      <c r="F27" s="1090"/>
      <c r="G27" s="1090"/>
      <c r="H27" s="623">
        <f>IFERROR(ROUND(SUMIF(BAZZS[Език],"БЕ",BAZZS[чУпражнение]),1),0)</f>
        <v>0</v>
      </c>
      <c r="I27" s="129">
        <f>IFERROR(ROUND(SUMIF(BAZLS[Език],"БЕ",BAZLS[чУпражнение]),1),0)</f>
        <v>0</v>
      </c>
      <c r="J27" s="621">
        <f>IFERROR(ROUND(SUMIF(MAZZS[Език],"БЕ",MAZZS[чУпражнения]),1),0)</f>
        <v>0</v>
      </c>
      <c r="K27" s="617">
        <f>IFERROR(ROUND(SUMIF(MAZLS[Език],"БЕ",MAZLS[чУпражнения]),1),0)</f>
        <v>0</v>
      </c>
      <c r="L27" s="619">
        <f>IFERROR(ROUND(SUMIF(DrAZ[кСеместър],CHOOSE(ПЕРИОД!D15,"*","зимен","летен","*")&amp;"|БЕ",DrAZ[чУпражнения]),1),0)</f>
        <v>0</v>
      </c>
      <c r="O27"/>
      <c r="P27"/>
    </row>
    <row r="28" spans="2:36" ht="20.100000000000001" customHeight="1" x14ac:dyDescent="0.25">
      <c r="B28" s="1089" t="s">
        <v>428</v>
      </c>
      <c r="C28" s="1090"/>
      <c r="D28" s="1090"/>
      <c r="E28" s="1090"/>
      <c r="F28" s="1090"/>
      <c r="G28" s="1090"/>
      <c r="H28" s="623">
        <f>IFERROR(ROUND(SUMIF(BAZZS[Език],"чужд",BAZZS[чЛекции]),0)+IFERROR(SUMIF(BAZZS[Език],"ФЧЕ",BAZZS[чЛекции]),1),0)</f>
        <v>0</v>
      </c>
      <c r="I28" s="129">
        <f>IFERROR(ROUND(SUMIF(BAZLS[Език],"чужд",BAZLS[чЛекции]),0)+IFERROR(SUMIF(BAZLS[Език],"ФЧЕ",BAZLS[чЛекции]),1),0)</f>
        <v>0</v>
      </c>
      <c r="J28" s="621">
        <f>IFERROR(ROUND(SUMIF(MAZZS[Език],"чужд",MAZZS[чЛекции]),0)+IFERROR(SUMIF(MAZZS[Език],"ФЧЕ",MAZZS[чЛекции]),1),0)</f>
        <v>0</v>
      </c>
      <c r="K28" s="617">
        <f>IFERROR(ROUND(SUMIF(MAZLS[Език],"чужд",MAZLS[чЛекции]),0)+IFERROR(SUMIF(MAZLS[Език],"ФЧЕ",MAZLS[чЛекции]),1),0)</f>
        <v>0</v>
      </c>
      <c r="L28" s="619">
        <f>IFERROR(ROUND(SUMIF(DrAZ[кСеместър],CHOOSE(ПЕРИОД!D15,"*","зимен","летен","*")&amp;"|чужд",DrAZ[чЛекции]),1),0)</f>
        <v>0</v>
      </c>
      <c r="O28"/>
      <c r="P28"/>
    </row>
    <row r="29" spans="2:36" ht="20.100000000000001" customHeight="1" thickBot="1" x14ac:dyDescent="0.3">
      <c r="B29" s="1153" t="s">
        <v>429</v>
      </c>
      <c r="C29" s="1154"/>
      <c r="D29" s="1154"/>
      <c r="E29" s="1154"/>
      <c r="F29" s="1154"/>
      <c r="G29" s="1154"/>
      <c r="H29" s="626">
        <f>IFERROR(ROUND(SUMIF(BAZZS[Език],"чужд",BAZZS[чУпражнение]),0)+IFERROR(SUMIF(BAZZS[Език],"ФЧЕ",BAZZS[чУпражнение]),1),0)</f>
        <v>0</v>
      </c>
      <c r="I29" s="627">
        <f>IFERROR(ROUND(SUMIF(BAZLS[Език],"чужд",BAZLS[чУпражнение]),0)+IFERROR(SUMIF(BAZLS[Език],"ФЧЕ",BAZLS[чУпражнение]),1),0)</f>
        <v>0</v>
      </c>
      <c r="J29" s="628">
        <f>IFERROR(ROUND(SUMIF(MAZZS[Език],"чужд",MAZZS[чУпражнения]),0)+IFERROR(SUMIF(MAZZS[Език],"ФЧЕ",MAZZS[чУпражнения]),1),0)</f>
        <v>0</v>
      </c>
      <c r="K29" s="629">
        <f>IFERROR(ROUND(SUMIF(MAZLS[Език],"чужд",MAZLS[чУпражнения]),0)+IFERROR(SUMIF(MAZLS[Език],"ФЧЕ",MAZLS[чУпражнения]),1),0)</f>
        <v>0</v>
      </c>
      <c r="L29" s="630">
        <f>IFERROR(ROUND(SUMIF(DrAZ[кСеместър],CHOOSE(ПЕРИОД!D15,"*","зимен","летен","*")&amp;"|чужд",DrAZ[чУпражнения]),1),0)</f>
        <v>0</v>
      </c>
      <c r="O29"/>
      <c r="P29"/>
    </row>
    <row r="30" spans="2:36" ht="27" customHeight="1" thickBot="1" x14ac:dyDescent="0.3">
      <c r="B30" s="1076" t="s">
        <v>10</v>
      </c>
      <c r="C30" s="1077"/>
      <c r="D30" s="1077"/>
      <c r="E30" s="1077"/>
      <c r="F30" s="1077"/>
      <c r="G30" s="1077"/>
      <c r="H30" s="1077"/>
      <c r="I30" s="1077"/>
      <c r="J30" s="1077"/>
      <c r="K30" s="1077"/>
      <c r="L30" s="1078"/>
    </row>
    <row r="31" spans="2:36" ht="27" customHeight="1" thickBot="1" x14ac:dyDescent="0.3">
      <c r="B31" s="1149" t="s">
        <v>532</v>
      </c>
      <c r="C31" s="1150"/>
      <c r="D31" s="1150"/>
      <c r="E31" s="1150"/>
      <c r="F31" s="1150"/>
      <c r="G31" s="1150"/>
      <c r="H31" s="631">
        <f>SUM(H34:H38)</f>
        <v>0</v>
      </c>
      <c r="I31" s="632">
        <f>SUM(I34:I38)</f>
        <v>0</v>
      </c>
      <c r="J31" s="632">
        <f>SUM(J34:J38)</f>
        <v>0</v>
      </c>
      <c r="K31" s="633">
        <f>SUM(K34:K38)</f>
        <v>0</v>
      </c>
      <c r="L31" s="634">
        <v>0</v>
      </c>
      <c r="U31" s="490" t="s">
        <v>575</v>
      </c>
      <c r="V31" s="490" t="s">
        <v>577</v>
      </c>
      <c r="W31" s="490" t="s">
        <v>554</v>
      </c>
      <c r="X31" s="490" t="s">
        <v>571</v>
      </c>
    </row>
    <row r="32" spans="2:36" ht="24.95" customHeight="1" thickTop="1" thickBot="1" x14ac:dyDescent="0.3">
      <c r="B32" s="1151" t="s">
        <v>642</v>
      </c>
      <c r="C32" s="1152"/>
      <c r="D32" s="1152"/>
      <c r="E32" s="1152"/>
      <c r="F32" s="1152"/>
      <c r="G32" s="1152"/>
      <c r="H32" s="498">
        <f>IFERROR(ROUND(SUMIF(BPZS[ВидПрактика],$U32,BPZS[чПрактика]),1),0)</f>
        <v>0</v>
      </c>
      <c r="I32" s="493">
        <f>IFERROR(ROUND(SUMIF(BPLS[ВидПрактика],$U32,BPLS[чПрактика]),1),0)</f>
        <v>0</v>
      </c>
      <c r="J32" s="493">
        <f>IFERROR(ROUND(SUMIF(MPZS[ВидПрактика],$U32,MPZS[чПрактика]),1),0)</f>
        <v>0</v>
      </c>
      <c r="K32" s="499">
        <f>IFERROR(ROUND(SUMIF(MPLS[ВидПрактика],$U32,MPLS[чПрактика]),1),0)</f>
        <v>0</v>
      </c>
      <c r="L32" s="376">
        <v>0</v>
      </c>
      <c r="Q32" s="594">
        <v>0.75</v>
      </c>
      <c r="R32" s="594">
        <v>0.25</v>
      </c>
      <c r="U32" s="491" t="str">
        <f>Coef!P4</f>
        <v>Хоспитиране</v>
      </c>
      <c r="V32" s="492">
        <f>VLOOKUP($U32,T_Практики[[Практика и курсова работа]:[Ден]],COLUMN(B1),0)</f>
        <v>30</v>
      </c>
      <c r="W32" s="492">
        <f>VLOOKUP($U32,T_Практики[[Практика и курсова работа]:[Ден]],COLUMN(C1),0)</f>
        <v>1</v>
      </c>
      <c r="X32" s="492">
        <f>VLOOKUP($U32,T_Практики[[Практика и курсова работа]:[Ден]],COLUMN(D1),0)</f>
        <v>0</v>
      </c>
    </row>
    <row r="33" spans="2:24" ht="24.95" customHeight="1" thickBot="1" x14ac:dyDescent="0.3">
      <c r="B33" s="1079" t="s">
        <v>643</v>
      </c>
      <c r="C33" s="1080"/>
      <c r="D33" s="1080"/>
      <c r="E33" s="1080"/>
      <c r="F33" s="1080"/>
      <c r="G33" s="1080"/>
      <c r="H33" s="500">
        <f>IFERROR(ROUND(SUMIF(BPZS[ВидПрактика],$U33,BPZS[чПрактика]),1),0)</f>
        <v>0</v>
      </c>
      <c r="I33" s="494">
        <f>IFERROR(ROUND(SUMIF(BPLS[ВидПрактика],$U33,BPLS[чПрактика]),1),0)</f>
        <v>0</v>
      </c>
      <c r="J33" s="494">
        <f>IFERROR(ROUND(SUMIF(MPZS[ВидПрактика],$U33,MPZS[чПрактика]),1),0)</f>
        <v>0</v>
      </c>
      <c r="K33" s="501">
        <f>IFERROR(ROUND(SUMIF(MPLS[ВидПрактика],$U33,MPLS[чПрактика]),1),0)</f>
        <v>0</v>
      </c>
      <c r="L33" s="377">
        <v>0</v>
      </c>
      <c r="O33" s="435" t="s">
        <v>527</v>
      </c>
      <c r="P33" s="595">
        <f>IFERROR(IF(AND(Лекторат,O13),IF(DAYS360(VALUE($O$24),VALUE($P$24))&lt;=360,DAYS360(VALUE($O$24),VALUE($P$24)),360),0),0)</f>
        <v>0</v>
      </c>
      <c r="Q33" s="596">
        <f>IFERROR(IF(Лекторат,ROUND(P33*75%,2),0),0)</f>
        <v>0</v>
      </c>
      <c r="R33" s="597">
        <f>P33-Q33</f>
        <v>0</v>
      </c>
      <c r="U33" s="491" t="str">
        <f>Coef!P5</f>
        <v>Тeкуща педагог. п-ка</v>
      </c>
      <c r="V33" s="492">
        <f>VLOOKUP($U33,T_Практики[[Практика и курсова работа]:[Ден]],COLUMN(B2),0)</f>
        <v>60</v>
      </c>
      <c r="W33" s="492">
        <f>VLOOKUP($U33,T_Практики[[Практика и курсова работа]:[Ден]],COLUMN(C2),0)</f>
        <v>1</v>
      </c>
      <c r="X33" s="492">
        <f>VLOOKUP($U33,T_Практики[[Практика и курсова работа]:[Ден]],COLUMN(D2),0)</f>
        <v>0</v>
      </c>
    </row>
    <row r="34" spans="2:24" ht="24.95" customHeight="1" x14ac:dyDescent="0.25">
      <c r="B34" s="1079" t="s">
        <v>533</v>
      </c>
      <c r="C34" s="1080"/>
      <c r="D34" s="1080"/>
      <c r="E34" s="1080"/>
      <c r="F34" s="1080"/>
      <c r="G34" s="1080"/>
      <c r="H34" s="500">
        <f>IFERROR(ROUND(SUMIF(BPZS[ВидПрактика],$U34,BPZS[чПрактика]),1),0)</f>
        <v>0</v>
      </c>
      <c r="I34" s="494">
        <f>IFERROR(ROUND(SUMIF(BPLS[ВидПрактика],$U34,BPLS[чПрактика]),0),)</f>
        <v>0</v>
      </c>
      <c r="J34" s="494">
        <f>IFERROR(ROUND(SUMIF(MPZS[ВидПрактика],$U34,MPZS[чПрактика]),1),0)</f>
        <v>0</v>
      </c>
      <c r="K34" s="501">
        <f>IFERROR(ROUND(SUMIF(MPLS[ВидПрактика],$U34,MPLS[чПрактика]),1),0)</f>
        <v>0</v>
      </c>
      <c r="L34" s="377">
        <v>0</v>
      </c>
      <c r="R34" s="643"/>
      <c r="U34" s="491" t="str">
        <f>Coef!P6</f>
        <v>Научно-произв. п-ка</v>
      </c>
      <c r="V34" s="492">
        <f>VLOOKUP($U34,T_Практики[[Практика и курсова работа]:[Ден]],COLUMN(B3),0)</f>
        <v>3</v>
      </c>
      <c r="W34" s="492">
        <f>VLOOKUP($U34,T_Практики[[Практика и курсова работа]:[Ден]],COLUMN(C3),0)</f>
        <v>1</v>
      </c>
      <c r="X34" s="492">
        <f>VLOOKUP($U34,T_Практики[[Практика и курсова работа]:[Ден]],COLUMN(D3),0)</f>
        <v>1</v>
      </c>
    </row>
    <row r="35" spans="2:24" ht="35.1" customHeight="1" x14ac:dyDescent="0.25">
      <c r="B35" s="1079" t="s">
        <v>534</v>
      </c>
      <c r="C35" s="1080"/>
      <c r="D35" s="1080"/>
      <c r="E35" s="1080"/>
      <c r="F35" s="1080"/>
      <c r="G35" s="1080"/>
      <c r="H35" s="500">
        <f>IFERROR(ROUND(SUMIF(BPZS[ВидПрактика],$U35,BPZS[чПрактика]),1),0)</f>
        <v>0</v>
      </c>
      <c r="I35" s="494">
        <f>IFERROR(ROUND(SUMIF(BPLS[ВидПрактика],$U35,BPLS[чПрактика]),0),0)</f>
        <v>0</v>
      </c>
      <c r="J35" s="494">
        <f>IFERROR(ROUND(SUMIF(MPZS[ВидПрактика],$U35,MPZS[чПрактика]),1),0)</f>
        <v>0</v>
      </c>
      <c r="K35" s="501">
        <f>IFERROR(ROUND(SUMIF(MPLS[ВидПрактика],$U35,MPLS[чПрактика]),1),0)</f>
        <v>0</v>
      </c>
      <c r="L35" s="377">
        <v>0</v>
      </c>
      <c r="U35" s="491" t="str">
        <f>Coef!P7</f>
        <v>Преддипл. стаж/п-ка</v>
      </c>
      <c r="V35" s="492">
        <f>VLOOKUP($U35,T_Практики[[Практика и курсова работа]:[Ден]],COLUMN(B4),0)</f>
        <v>3</v>
      </c>
      <c r="W35" s="492">
        <f>VLOOKUP($U35,T_Практики[[Практика и курсова работа]:[Ден]],COLUMN(C4),0)</f>
        <v>1</v>
      </c>
      <c r="X35" s="492">
        <f>VLOOKUP($U35,T_Практики[[Практика и курсова работа]:[Ден]],COLUMN(D4),0)</f>
        <v>0</v>
      </c>
    </row>
    <row r="36" spans="2:24" ht="24.95" customHeight="1" x14ac:dyDescent="0.25">
      <c r="B36" s="1079" t="s">
        <v>535</v>
      </c>
      <c r="C36" s="1080"/>
      <c r="D36" s="1080"/>
      <c r="E36" s="1080"/>
      <c r="F36" s="1080"/>
      <c r="G36" s="1080"/>
      <c r="H36" s="500">
        <f>IFERROR(ROUND(SUMIF(BPZS[ВидПрактика],$U36,BPZS[чПрактика]),1),0)</f>
        <v>0</v>
      </c>
      <c r="I36" s="494">
        <f>IFERROR(ROUND(SUMIF(BPLS[ВидПрактика],$U36,BPLS[чПрактика]),1),)</f>
        <v>0</v>
      </c>
      <c r="J36" s="494">
        <f>IFERROR(ROUND(SUMIF(MPZS[ВидПрактика],$U36,MPZS[чПрактика]),1),0)</f>
        <v>0</v>
      </c>
      <c r="K36" s="501">
        <f>IFERROR(ROUND(SUMIF(MPLS[ВидПрактика],$U36,MPLS[чПрактика]),1),0)</f>
        <v>0</v>
      </c>
      <c r="L36" s="377">
        <v>0</v>
      </c>
      <c r="U36" s="491" t="str">
        <f>Coef!P8</f>
        <v>Теренна п-ка</v>
      </c>
      <c r="V36" s="492">
        <f>VLOOKUP($U36,T_Практики[[Практика и курсова работа]:[Ден]],COLUMN(B5),0)</f>
        <v>4</v>
      </c>
      <c r="W36" s="492">
        <f>VLOOKUP($U36,T_Практики[[Практика и курсова работа]:[Ден]],COLUMN(C5),0)</f>
        <v>0</v>
      </c>
      <c r="X36" s="492">
        <f>VLOOKUP($U36,T_Практики[[Практика и курсова работа]:[Ден]],COLUMN(D5),0)</f>
        <v>1</v>
      </c>
    </row>
    <row r="37" spans="2:24" ht="24.95" customHeight="1" x14ac:dyDescent="0.25">
      <c r="B37" s="1079" t="s">
        <v>536</v>
      </c>
      <c r="C37" s="1080"/>
      <c r="D37" s="1080"/>
      <c r="E37" s="1080"/>
      <c r="F37" s="1080"/>
      <c r="G37" s="1080"/>
      <c r="H37" s="500">
        <f>IFERROR(ROUND(SUMIF(BPZS[ВидПрактика],$U37,BPZS[чПрактика]),1),0)</f>
        <v>0</v>
      </c>
      <c r="I37" s="494">
        <f>IFERROR(ROUND(SUMIF(BPLS[ВидПрактика],$U37,BPLS[чПрактика]),0),0)</f>
        <v>0</v>
      </c>
      <c r="J37" s="494">
        <f>IFERROR(ROUND(SUMIF(MPZS[ВидПрактика],$U37,MPZS[чПрактика]),1),0)</f>
        <v>0</v>
      </c>
      <c r="K37" s="501">
        <f>IFERROR(ROUND(SUMIF(MPLS[ВидПрактика],$U37,MPLS[чПрактика]),1),0)</f>
        <v>0</v>
      </c>
      <c r="L37" s="377">
        <v>0</v>
      </c>
      <c r="U37" s="491" t="str">
        <f>Coef!P9</f>
        <v>Лятна п-ка</v>
      </c>
      <c r="V37" s="492">
        <f>VLOOKUP($U37,T_Практики[[Практика и курсова работа]:[Ден]],COLUMN(B6),0)</f>
        <v>4</v>
      </c>
      <c r="W37" s="492">
        <f>VLOOKUP($U37,T_Практики[[Практика и курсова работа]:[Ден]],COLUMN(C6),0)</f>
        <v>0</v>
      </c>
      <c r="X37" s="492">
        <f>VLOOKUP($U37,T_Практики[[Практика и курсова работа]:[Ден]],COLUMN(D6),0)</f>
        <v>1</v>
      </c>
    </row>
    <row r="38" spans="2:24" ht="24.95" customHeight="1" thickBot="1" x14ac:dyDescent="0.3">
      <c r="B38" s="1158" t="s">
        <v>537</v>
      </c>
      <c r="C38" s="1159"/>
      <c r="D38" s="1159"/>
      <c r="E38" s="1159"/>
      <c r="F38" s="1159"/>
      <c r="G38" s="1159"/>
      <c r="H38" s="502">
        <f>IFERROR(ROUND(SUMIF(BPZS[ВидПрактика],$U38,BPZS[чПрактика]),1),0)</f>
        <v>0</v>
      </c>
      <c r="I38" s="495">
        <f>IFERROR(ROUND(SUMIF(BPLS[ВидПрактика],$U38,BPLS[чПрактика]),0),0)</f>
        <v>0</v>
      </c>
      <c r="J38" s="495">
        <f>IFERROR(ROUND(SUMIF(MPZS[ВидПрактика],$U38,MPZS[чПрактика]),1),0)</f>
        <v>0</v>
      </c>
      <c r="K38" s="503">
        <f>IFERROR(ROUND(SUMIF(MPLS[ВидПрактика],$U38,MPLS[чПрактика]),1),0)</f>
        <v>0</v>
      </c>
      <c r="L38" s="378">
        <v>0</v>
      </c>
      <c r="U38" s="491" t="str">
        <f>Coef!P10</f>
        <v>Учебно-спортна п-ка</v>
      </c>
      <c r="V38" s="492">
        <f>VLOOKUP($U38,T_Практики[[Практика и курсова работа]:[Ден]],COLUMN(B7),0)</f>
        <v>4</v>
      </c>
      <c r="W38" s="492">
        <f>VLOOKUP($U38,T_Практики[[Практика и курсова работа]:[Ден]],COLUMN(C7),0)</f>
        <v>0</v>
      </c>
      <c r="X38" s="492">
        <f>VLOOKUP($U38,T_Практики[[Практика и курсова работа]:[Ден]],COLUMN(D7),0)</f>
        <v>1</v>
      </c>
    </row>
    <row r="39" spans="2:24" ht="24.95" customHeight="1" thickTop="1" x14ac:dyDescent="0.25">
      <c r="B39" s="1105" t="s">
        <v>431</v>
      </c>
      <c r="C39" s="1106"/>
      <c r="D39" s="1106"/>
      <c r="E39" s="1106"/>
      <c r="F39" s="1106"/>
      <c r="G39" s="1106"/>
      <c r="H39" s="393">
        <f>IFERROR(ROUND(SUM(BAZZS[чИзпитани],BPZS[чИзпитани]),1),0)</f>
        <v>0</v>
      </c>
      <c r="I39" s="526">
        <f>IFERROR(ROUND(SUM(BAZLS[чИзпитани],BPLS[чИзпитани]),1),0)</f>
        <v>0</v>
      </c>
      <c r="J39" s="526">
        <f>IFERROR(ROUND(SUM(MAZZS[чИзпитани],MPZS[чИзпитани]),1),0)</f>
        <v>0</v>
      </c>
      <c r="K39" s="394">
        <f>IFERROR(ROUND(SUM(MAZLS[чИзпитани],MPLS[чИзпитани]),1),0)</f>
        <v>0</v>
      </c>
      <c r="L39" s="607">
        <v>0</v>
      </c>
    </row>
    <row r="40" spans="2:24" ht="24.95" customHeight="1" x14ac:dyDescent="0.25">
      <c r="B40" s="1089" t="s">
        <v>311</v>
      </c>
      <c r="C40" s="1090"/>
      <c r="D40" s="1090"/>
      <c r="E40" s="1090"/>
      <c r="F40" s="1090"/>
      <c r="G40" s="1090"/>
      <c r="H40" s="610">
        <f>IFERROR(ROUND(SUM(BAZZS[ТО],BPZS[ТО])*кТО,1),0)</f>
        <v>0</v>
      </c>
      <c r="I40" s="527">
        <f>IFERROR(ROUND(SUM(BAZLS[ТО],BPLS[ТО])*кТО,1),0)</f>
        <v>0</v>
      </c>
      <c r="J40" s="527">
        <f>IFERROR(ROUND(SUM(MAZZS[ТО],MPZS[ТО])*кТО,1),0)</f>
        <v>0</v>
      </c>
      <c r="K40" s="611">
        <f>IFERROR(ROUND(SUM(MAZLS[ТО],MPLS[ТО])*кТО,1),0)</f>
        <v>0</v>
      </c>
      <c r="L40" s="608">
        <v>0</v>
      </c>
    </row>
    <row r="41" spans="2:24" ht="24.95" customHeight="1" thickBot="1" x14ac:dyDescent="0.3">
      <c r="B41" s="1097" t="s">
        <v>432</v>
      </c>
      <c r="C41" s="1098"/>
      <c r="D41" s="1098"/>
      <c r="E41" s="1098"/>
      <c r="F41" s="1098"/>
      <c r="G41" s="1098"/>
      <c r="H41" s="389">
        <f>IFERROR(ROUND(SUM(BAZZS[КР],BPZS[КР])*кКурсова_работа,1),0)</f>
        <v>0</v>
      </c>
      <c r="I41" s="528">
        <f>IFERROR(ROUND(SUM(BAZLS[КР],BPLS[КР])*кКурсова_работа,1),0)</f>
        <v>0</v>
      </c>
      <c r="J41" s="528">
        <f>IFERROR(ROUND(SUM(MAZZS[КР],MPZS[КР])*кКурсова_работа,1),0)</f>
        <v>0</v>
      </c>
      <c r="K41" s="390">
        <f>IFERROR(ROUND(SUM(MAZLS[КР],MPLS[КР])*кКурсова_работа,1),0)</f>
        <v>0</v>
      </c>
      <c r="L41" s="606">
        <v>0</v>
      </c>
    </row>
    <row r="42" spans="2:24" ht="24.95" customHeight="1" thickTop="1" x14ac:dyDescent="0.25">
      <c r="B42" s="1105" t="s">
        <v>433</v>
      </c>
      <c r="C42" s="1106"/>
      <c r="D42" s="1106"/>
      <c r="E42" s="1106"/>
      <c r="F42" s="1106"/>
      <c r="G42" s="1106"/>
      <c r="H42" s="393">
        <f>IFERROR(ROUND(SUM(BDiplomiraneZS[ДР])*кДипломна_работа,1),0)</f>
        <v>0</v>
      </c>
      <c r="I42" s="526">
        <f>IFERROR(ROUND(SUM(BDiplomiraneLS[ДР])*кДипломна_работа,1),0)</f>
        <v>0</v>
      </c>
      <c r="J42" s="526">
        <f>IFERROR(ROUND(SUM(MDiplomiraneZS[ДР])*кДипломна_работа,1),0)</f>
        <v>0</v>
      </c>
      <c r="K42" s="394">
        <f>IFERROR(ROUND(SUM(MDiplomiraneLS[ДР])*кДипломна_работа,1),0)</f>
        <v>0</v>
      </c>
      <c r="L42" s="607">
        <v>0</v>
      </c>
    </row>
    <row r="43" spans="2:24" ht="24.95" customHeight="1" x14ac:dyDescent="0.25">
      <c r="B43" s="1089" t="s">
        <v>434</v>
      </c>
      <c r="C43" s="1090"/>
      <c r="D43" s="1090"/>
      <c r="E43" s="1090"/>
      <c r="F43" s="1090"/>
      <c r="G43" s="1090"/>
      <c r="H43" s="610">
        <f>IFERROR(ROUND(SUM(BDiplomiraneZS[Рецензии])*кРецензия,1),0)</f>
        <v>0</v>
      </c>
      <c r="I43" s="527">
        <f>IFERROR(ROUND(SUM(BDiplomiraneLS[Рецензии])*кРецензия,0),0)</f>
        <v>0</v>
      </c>
      <c r="J43" s="527">
        <f>IFERROR(ROUND(SUM(MDiplomiraneZS[Рецензии])*кРецензия,1),0)</f>
        <v>0</v>
      </c>
      <c r="K43" s="611">
        <f>IFERROR(ROUND(SUM(MDiplomiraneLS[Рецензии])*кРецензия,1),0)</f>
        <v>0</v>
      </c>
      <c r="L43" s="608">
        <v>0</v>
      </c>
    </row>
    <row r="44" spans="2:24" ht="24.95" customHeight="1" thickBot="1" x14ac:dyDescent="0.3">
      <c r="B44" s="1097" t="s">
        <v>435</v>
      </c>
      <c r="C44" s="1098"/>
      <c r="D44" s="1098"/>
      <c r="E44" s="1098"/>
      <c r="F44" s="1098"/>
      <c r="G44" s="1098"/>
      <c r="H44" s="389">
        <f>IFERROR(ROUND(SUM(BDiplomiraneZS[И/ДИ/З])*кДИ_защита,1),0)</f>
        <v>0</v>
      </c>
      <c r="I44" s="528">
        <f>IFERROR(ROUND(SUM(BDiplomiraneLS[И/ДИ/З])*кДИ_защита,1),0)</f>
        <v>0</v>
      </c>
      <c r="J44" s="528">
        <f>IFERROR(ROUND(SUM(MDiplomiraneZS[И/ДИ/З])*кДИ_защита,1),0)</f>
        <v>0</v>
      </c>
      <c r="K44" s="390">
        <f>IFERROR(ROUND(SUM(MDiplomiraneLS[И/ДИ/З])*кДИ_защита,1),0)</f>
        <v>0</v>
      </c>
      <c r="L44" s="606">
        <v>0</v>
      </c>
    </row>
    <row r="45" spans="2:24" ht="24.95" customHeight="1" thickTop="1" x14ac:dyDescent="0.25">
      <c r="B45" s="1105" t="s">
        <v>310</v>
      </c>
      <c r="C45" s="1106"/>
      <c r="D45" s="1106"/>
      <c r="E45" s="1106"/>
      <c r="F45" s="1106"/>
      <c r="G45" s="1106"/>
      <c r="H45" s="393">
        <f>IFERROR(ROUND(SUMIF(Подготовка_курс[Бакалавър],"нов курс|Б|зимен",Подготовка_курс[кЧасове]),1),0)</f>
        <v>0</v>
      </c>
      <c r="I45" s="526">
        <f>IFERROR(ROUND(SUMIF(Подготовка_курс[Бакалавър],"нов курс|Б|летен",Подготовка_курс[кЧасове]),1),0)</f>
        <v>0</v>
      </c>
      <c r="J45" s="526">
        <f>IFERROR(ROUND(SUMIF(Подготовка_курс[Магистър],"нов курс|М|зимен",Подготовка_курс[кЧасове]),1),0)</f>
        <v>0</v>
      </c>
      <c r="K45" s="394">
        <f>IFERROR(ROUND(SUMIF(Подготовка_курс[Магистър],"нов курс|М|летен",Подготовка_курс[кЧасове]),1),0)</f>
        <v>0</v>
      </c>
      <c r="L45" s="607">
        <v>0</v>
      </c>
    </row>
    <row r="46" spans="2:24" ht="24.95" customHeight="1" x14ac:dyDescent="0.25">
      <c r="B46" s="1089" t="s">
        <v>309</v>
      </c>
      <c r="C46" s="1090"/>
      <c r="D46" s="1090"/>
      <c r="E46" s="1090"/>
      <c r="F46" s="1090"/>
      <c r="G46" s="1090"/>
      <c r="H46" s="610">
        <f>IFERROR(ROUND(SUMIF(Подготовка_курс[Бакалавър],"ел. учебни ресурси|Б|зимен",Подготовка_курс[кЧасове]),1),0)</f>
        <v>0</v>
      </c>
      <c r="I46" s="527">
        <f>IFERROR(ROUND(SUMIF(Подготовка_курс[Бакалавър],"ел. учебни ресурси|Б|летен",Подготовка_курс[кЧасове]),1),0)</f>
        <v>0</v>
      </c>
      <c r="J46" s="527">
        <f>IFERROR(ROUND(SUMIF(Подготовка_курс[Магистър],"ел. учебни ресурси|М|зимен",Подготовка_курс[кЧасове]),1),0)</f>
        <v>0</v>
      </c>
      <c r="K46" s="611">
        <f>IFERROR(ROUND(SUMIF(Подготовка_курс[Магистър],"ел. учебни ресурси|М|летен",Подготовка_курс[кЧасове]),1),0)</f>
        <v>0</v>
      </c>
      <c r="L46" s="608">
        <v>0</v>
      </c>
    </row>
    <row r="47" spans="2:24" ht="24.95" customHeight="1" thickBot="1" x14ac:dyDescent="0.3">
      <c r="B47" s="1097" t="s">
        <v>308</v>
      </c>
      <c r="C47" s="1098"/>
      <c r="D47" s="1098"/>
      <c r="E47" s="1098"/>
      <c r="F47" s="1098"/>
      <c r="G47" s="1098"/>
      <c r="H47" s="389">
        <f>IFERROR(ROUND(SUMIF(Подготовка_курс[Бакалавър],"актуализация|Б|зимен",Подготовка_курс[кЧасове]),1),0)</f>
        <v>0</v>
      </c>
      <c r="I47" s="528">
        <f>IFERROR(ROUND(SUMIF(Подготовка_курс[Бакалавър],"актуализация|Б|летен",Подготовка_курс[кЧасове]),1),0)</f>
        <v>0</v>
      </c>
      <c r="J47" s="528">
        <f>IFERROR(ROUND(SUMIF(Подготовка_курс[Магистър],"актуализация|М|зимен",Подготовка_курс[кЧасове]),1),0)</f>
        <v>0</v>
      </c>
      <c r="K47" s="390">
        <f>IFERROR(ROUND(SUMIF(Подготовка_курс[Магистър],"актуализация|М|летен",Подготовка_курс[кЧасове]),1),0)</f>
        <v>0</v>
      </c>
      <c r="L47" s="606">
        <v>0</v>
      </c>
    </row>
    <row r="48" spans="2:24" ht="24.95" customHeight="1" thickTop="1" x14ac:dyDescent="0.25">
      <c r="B48" s="1105" t="s">
        <v>307</v>
      </c>
      <c r="C48" s="1106"/>
      <c r="D48" s="1106"/>
      <c r="E48" s="1106"/>
      <c r="F48" s="1106"/>
      <c r="G48" s="1106"/>
      <c r="H48" s="612">
        <v>0</v>
      </c>
      <c r="I48" s="127">
        <v>0</v>
      </c>
      <c r="J48" s="127">
        <v>0</v>
      </c>
      <c r="K48" s="128">
        <v>0</v>
      </c>
      <c r="L48" s="816">
        <f>IFERROR(ROUND(SUMIF(T_КИ_НР[кДейност],1,T_КИ_НР[чУпр])+SUMIF(DrAZ[кСеместър],CHOOSE(ПЕРИОД!D15,"*","*зимен*","*летен*","*"),DrAZ[чИзпитани]),1),0)</f>
        <v>0</v>
      </c>
    </row>
    <row r="49" spans="2:12" ht="24.95" customHeight="1" thickBot="1" x14ac:dyDescent="0.3">
      <c r="B49" s="1089" t="s">
        <v>436</v>
      </c>
      <c r="C49" s="1090"/>
      <c r="D49" s="1090"/>
      <c r="E49" s="1090"/>
      <c r="F49" s="1090"/>
      <c r="G49" s="1090"/>
      <c r="H49" s="613">
        <v>0</v>
      </c>
      <c r="I49" s="614">
        <v>0</v>
      </c>
      <c r="J49" s="614">
        <v>0</v>
      </c>
      <c r="K49" s="615">
        <v>0</v>
      </c>
      <c r="L49" s="609">
        <f>IFERROR(ROUND(SUMIF(T_КИ_НР[кДейност],2,T_КИ_НР[чУпр]),1),0)</f>
        <v>0</v>
      </c>
    </row>
    <row r="50" spans="2:12" ht="24.95" customHeight="1" x14ac:dyDescent="0.25">
      <c r="B50" s="1099" t="s">
        <v>414</v>
      </c>
      <c r="C50" s="1100"/>
      <c r="D50" s="1100"/>
      <c r="E50" s="1100"/>
      <c r="F50" s="1100"/>
      <c r="G50" s="1101"/>
      <c r="H50" s="602">
        <f>SUM(H51,H31,H39:H47)</f>
        <v>0</v>
      </c>
      <c r="I50" s="187">
        <f>SUM(I51,I31,I39:I47)</f>
        <v>0</v>
      </c>
      <c r="J50" s="188">
        <f>SUM(J51,J31,J39:J47)</f>
        <v>0</v>
      </c>
      <c r="K50" s="189">
        <f>SUM(K51,K31,K39:K47)</f>
        <v>0</v>
      </c>
      <c r="L50" s="600">
        <f>SUM(L48:L49,L51)</f>
        <v>0</v>
      </c>
    </row>
    <row r="51" spans="2:12" ht="24.95" customHeight="1" thickBot="1" x14ac:dyDescent="0.3">
      <c r="B51" s="1102" t="s">
        <v>11</v>
      </c>
      <c r="C51" s="1103"/>
      <c r="D51" s="1103"/>
      <c r="E51" s="1103"/>
      <c r="F51" s="1103"/>
      <c r="G51" s="1104"/>
      <c r="H51" s="603">
        <f>SUM(H26:H29,H32:H33)</f>
        <v>0</v>
      </c>
      <c r="I51" s="190">
        <f>SUM(I26:I29,I32:I33)</f>
        <v>0</v>
      </c>
      <c r="J51" s="191">
        <f>SUM(J26:J29,J32:J33)</f>
        <v>0</v>
      </c>
      <c r="K51" s="192">
        <f>SUM(K26:K29,K32:K33)</f>
        <v>0</v>
      </c>
      <c r="L51" s="601">
        <f>SUM(L26:L29)</f>
        <v>0</v>
      </c>
    </row>
    <row r="52" spans="2:12" ht="24.95" customHeight="1" x14ac:dyDescent="0.25">
      <c r="B52" s="1155" t="s">
        <v>549</v>
      </c>
      <c r="C52" s="1156"/>
      <c r="D52" s="1156"/>
      <c r="E52" s="1156"/>
      <c r="F52" s="1156"/>
      <c r="G52" s="1157"/>
      <c r="H52" s="1160">
        <f>IFERROR(ROUND(P33,1),0)</f>
        <v>0</v>
      </c>
      <c r="I52" s="1161"/>
      <c r="J52" s="1161"/>
      <c r="K52" s="1162"/>
      <c r="L52" s="377">
        <v>0</v>
      </c>
    </row>
    <row r="53" spans="2:12" ht="24.95" customHeight="1" thickBot="1" x14ac:dyDescent="0.3">
      <c r="B53" s="1067" t="s">
        <v>550</v>
      </c>
      <c r="C53" s="1068"/>
      <c r="D53" s="1068"/>
      <c r="E53" s="1068"/>
      <c r="F53" s="1068"/>
      <c r="G53" s="1069"/>
      <c r="H53" s="1070">
        <f>IFERROR(ROUND(Q33,1),0)</f>
        <v>0</v>
      </c>
      <c r="I53" s="1071"/>
      <c r="J53" s="1071"/>
      <c r="K53" s="1072"/>
      <c r="L53" s="377">
        <v>0</v>
      </c>
    </row>
    <row r="54" spans="2:12" ht="24.95" customHeight="1" x14ac:dyDescent="0.25">
      <c r="B54" s="1091" t="s">
        <v>415</v>
      </c>
      <c r="C54" s="1092"/>
      <c r="D54" s="1092"/>
      <c r="E54" s="1092"/>
      <c r="F54" s="1092"/>
      <c r="G54" s="1093"/>
      <c r="H54" s="1216">
        <f>IFERROR(ROUND(SUM(H50:K50,H52),1),0)</f>
        <v>0</v>
      </c>
      <c r="I54" s="1217"/>
      <c r="J54" s="1217"/>
      <c r="K54" s="1218"/>
      <c r="L54" s="604">
        <f>IFERROR(ROUND(L55+L50,1),0)</f>
        <v>0</v>
      </c>
    </row>
    <row r="55" spans="2:12" ht="24.95" customHeight="1" thickBot="1" x14ac:dyDescent="0.3">
      <c r="B55" s="1094" t="s">
        <v>413</v>
      </c>
      <c r="C55" s="1095"/>
      <c r="D55" s="1095"/>
      <c r="E55" s="1095"/>
      <c r="F55" s="1095"/>
      <c r="G55" s="1096"/>
      <c r="H55" s="1219">
        <f>IFERROR(ROUND(SUM(H51:K51,H53),1),0)</f>
        <v>0</v>
      </c>
      <c r="I55" s="1220"/>
      <c r="J55" s="1220"/>
      <c r="K55" s="1221"/>
      <c r="L55" s="605">
        <f>IFERROR(ROUND(L51,1),0)</f>
        <v>0</v>
      </c>
    </row>
    <row r="56" spans="2:12" ht="15.75" thickBot="1" x14ac:dyDescent="0.3">
      <c r="B56" s="4"/>
      <c r="C56" s="4"/>
      <c r="D56" s="4"/>
      <c r="E56" s="4"/>
      <c r="F56" s="4"/>
      <c r="G56" s="4"/>
      <c r="H56" s="5"/>
      <c r="I56" s="5"/>
      <c r="J56" s="5"/>
      <c r="K56" s="5"/>
      <c r="L56" s="5"/>
    </row>
    <row r="57" spans="2:12" ht="24.95" customHeight="1" x14ac:dyDescent="0.25">
      <c r="B57" s="1225" t="s">
        <v>75</v>
      </c>
      <c r="C57" s="1226"/>
      <c r="D57" s="1226"/>
      <c r="E57" s="1226"/>
      <c r="F57" s="1226"/>
      <c r="G57" s="1226"/>
      <c r="H57" s="1227" t="s">
        <v>67</v>
      </c>
      <c r="I57" s="1228"/>
      <c r="J57" s="1227" t="s">
        <v>68</v>
      </c>
      <c r="K57" s="1228"/>
      <c r="L57" s="186" t="s">
        <v>3</v>
      </c>
    </row>
    <row r="58" spans="2:12" ht="24.95" customHeight="1" x14ac:dyDescent="0.25">
      <c r="B58" s="1222" t="s">
        <v>70</v>
      </c>
      <c r="C58" s="1223"/>
      <c r="D58" s="1223"/>
      <c r="E58" s="1223"/>
      <c r="F58" s="1223"/>
      <c r="G58" s="1224"/>
      <c r="H58" s="370"/>
      <c r="I58" s="371"/>
      <c r="J58" s="370"/>
      <c r="K58" s="371"/>
      <c r="L58" s="372"/>
    </row>
    <row r="59" spans="2:12" ht="24.95" customHeight="1" x14ac:dyDescent="0.25">
      <c r="B59" s="1222" t="s">
        <v>71</v>
      </c>
      <c r="C59" s="1223"/>
      <c r="D59" s="1223"/>
      <c r="E59" s="1223"/>
      <c r="F59" s="1223"/>
      <c r="G59" s="1224"/>
      <c r="H59" s="370"/>
      <c r="I59" s="371"/>
      <c r="J59" s="370"/>
      <c r="K59" s="371"/>
      <c r="L59" s="372"/>
    </row>
    <row r="60" spans="2:12" ht="24.95" customHeight="1" thickBot="1" x14ac:dyDescent="0.3">
      <c r="B60" s="1147" t="s">
        <v>72</v>
      </c>
      <c r="C60" s="1148"/>
      <c r="D60" s="1148"/>
      <c r="E60" s="1148"/>
      <c r="F60" s="1148"/>
      <c r="G60" s="1148"/>
      <c r="H60" s="368"/>
      <c r="I60" s="369"/>
      <c r="J60" s="368"/>
      <c r="K60" s="369"/>
      <c r="L60" s="373"/>
    </row>
    <row r="61" spans="2:12" ht="15.75" thickBot="1" x14ac:dyDescent="0.3">
      <c r="B61" s="23"/>
      <c r="C61" s="23"/>
      <c r="D61" s="23"/>
      <c r="E61" s="23"/>
      <c r="F61" s="23"/>
      <c r="G61" s="23"/>
      <c r="H61" s="22"/>
      <c r="I61" s="22"/>
      <c r="J61" s="5"/>
      <c r="K61" s="5"/>
      <c r="L61" s="5"/>
    </row>
    <row r="62" spans="2:12" ht="20.100000000000001" customHeight="1" x14ac:dyDescent="0.25">
      <c r="B62" s="1229" t="s">
        <v>109</v>
      </c>
      <c r="C62" s="1230"/>
      <c r="D62" s="1230"/>
      <c r="E62" s="1230"/>
      <c r="F62" s="1230"/>
      <c r="G62" s="1230"/>
      <c r="H62" s="1230"/>
      <c r="I62" s="1230"/>
      <c r="J62" s="1230"/>
      <c r="K62" s="1230"/>
      <c r="L62" s="1231"/>
    </row>
    <row r="63" spans="2:12" ht="20.100000000000001" customHeight="1" x14ac:dyDescent="0.25">
      <c r="B63" s="1110" t="s">
        <v>110</v>
      </c>
      <c r="C63" s="1111"/>
      <c r="D63" s="1112"/>
      <c r="E63" s="1113"/>
      <c r="F63" s="1113"/>
      <c r="G63" s="1113"/>
      <c r="H63" s="1113"/>
      <c r="I63" s="1113"/>
      <c r="J63" s="1113"/>
      <c r="K63" s="1113"/>
      <c r="L63" s="1114"/>
    </row>
    <row r="64" spans="2:12" ht="46.5" customHeight="1" thickBot="1" x14ac:dyDescent="0.3">
      <c r="B64" s="1115" t="s">
        <v>111</v>
      </c>
      <c r="C64" s="1116"/>
      <c r="D64" s="1117" t="s">
        <v>73</v>
      </c>
      <c r="E64" s="1118"/>
      <c r="F64" s="1118"/>
      <c r="G64" s="1119"/>
      <c r="H64" s="1117" t="s">
        <v>74</v>
      </c>
      <c r="I64" s="1118"/>
      <c r="J64" s="1118"/>
      <c r="K64" s="1118"/>
      <c r="L64" s="1120"/>
    </row>
    <row r="65" spans="1:13" x14ac:dyDescent="0.25">
      <c r="B65" s="4"/>
      <c r="C65" s="4"/>
      <c r="D65" s="4"/>
      <c r="E65" s="4"/>
      <c r="F65" s="4"/>
      <c r="G65" s="4"/>
      <c r="H65" s="5"/>
      <c r="I65" s="5"/>
      <c r="J65" s="5"/>
      <c r="K65" s="5"/>
      <c r="L65" s="5"/>
    </row>
    <row r="66" spans="1:13" ht="18.75" x14ac:dyDescent="0.25">
      <c r="A66" s="198"/>
      <c r="B66" s="1121" t="s">
        <v>12</v>
      </c>
      <c r="C66" s="1122"/>
      <c r="D66" s="1122"/>
      <c r="E66" s="1122"/>
      <c r="F66" s="1122"/>
      <c r="G66" s="1122"/>
      <c r="H66" s="1122"/>
      <c r="I66" s="1122"/>
      <c r="J66" s="1122"/>
      <c r="K66" s="1122"/>
      <c r="L66" s="1123"/>
    </row>
    <row r="67" spans="1:13" ht="18.75" x14ac:dyDescent="0.3">
      <c r="A67" s="185"/>
      <c r="B67" s="1127" t="s">
        <v>193</v>
      </c>
      <c r="C67" s="1128"/>
      <c r="D67" s="1128"/>
      <c r="E67" s="1128"/>
      <c r="F67" s="1128"/>
      <c r="G67" s="1128"/>
      <c r="H67" s="1128"/>
      <c r="I67" s="1128"/>
      <c r="J67" s="1128"/>
      <c r="K67" s="1128"/>
      <c r="L67" s="1129"/>
    </row>
    <row r="68" spans="1:13" ht="18.75" x14ac:dyDescent="0.3">
      <c r="A68" s="185"/>
      <c r="B68" s="1124" t="s">
        <v>13</v>
      </c>
      <c r="C68" s="1125"/>
      <c r="D68" s="1125"/>
      <c r="E68" s="1125"/>
      <c r="F68" s="1125"/>
      <c r="G68" s="1125"/>
      <c r="H68" s="1125"/>
      <c r="I68" s="1125"/>
      <c r="J68" s="1125"/>
      <c r="K68" s="1125"/>
      <c r="L68" s="1126"/>
    </row>
    <row r="69" spans="1:13" s="71" customFormat="1" ht="15.75" x14ac:dyDescent="0.25"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/>
    </row>
    <row r="70" spans="1:13" s="71" customFormat="1" ht="30.75" customHeight="1" x14ac:dyDescent="0.25">
      <c r="B70" s="1207" t="s">
        <v>166</v>
      </c>
      <c r="C70" s="1208"/>
      <c r="D70" s="1208"/>
      <c r="E70" s="1208"/>
      <c r="F70" s="1208"/>
      <c r="G70" s="1208"/>
      <c r="H70" s="1208"/>
      <c r="I70" s="1208"/>
      <c r="J70" s="1208"/>
      <c r="K70" s="1208"/>
      <c r="L70" s="1209"/>
      <c r="M70"/>
    </row>
    <row r="71" spans="1:13" s="71" customFormat="1" ht="15.75" x14ac:dyDescent="0.25">
      <c r="B71" s="1210" t="s">
        <v>154</v>
      </c>
      <c r="C71" s="1211"/>
      <c r="D71" s="1211"/>
      <c r="E71" s="1211"/>
      <c r="F71" s="1211"/>
      <c r="G71" s="1211"/>
      <c r="H71" s="1211"/>
      <c r="I71" s="1211"/>
      <c r="J71" s="1211"/>
      <c r="K71" s="1211"/>
      <c r="L71" s="1212"/>
      <c r="M71"/>
    </row>
    <row r="72" spans="1:13" ht="21.75" customHeight="1" x14ac:dyDescent="0.25">
      <c r="B72" s="1232" t="s">
        <v>4</v>
      </c>
      <c r="C72" s="1233"/>
      <c r="D72" s="1233"/>
      <c r="E72" s="1233"/>
      <c r="F72" s="1233"/>
      <c r="G72" s="1233"/>
      <c r="H72" s="1233"/>
      <c r="I72" s="1233"/>
      <c r="J72" s="1233"/>
      <c r="K72" s="1233"/>
      <c r="L72" s="1234"/>
    </row>
    <row r="73" spans="1:13" ht="15.75" x14ac:dyDescent="0.25">
      <c r="B73" s="1107" t="s">
        <v>438</v>
      </c>
      <c r="C73" s="1108"/>
      <c r="D73" s="1108"/>
      <c r="E73" s="1108"/>
      <c r="F73" s="1108"/>
      <c r="G73" s="1108"/>
      <c r="H73" s="1108"/>
      <c r="I73" s="1108"/>
      <c r="J73" s="1108"/>
      <c r="K73" s="1108"/>
      <c r="L73" s="1109"/>
    </row>
    <row r="74" spans="1:13" ht="15.75" customHeight="1" x14ac:dyDescent="0.25">
      <c r="B74" s="1086" t="s">
        <v>502</v>
      </c>
      <c r="C74" s="1087"/>
      <c r="D74" s="1087"/>
      <c r="E74" s="1087"/>
      <c r="F74" s="1087"/>
      <c r="G74" s="1087"/>
      <c r="H74" s="1087"/>
      <c r="I74" s="1087"/>
      <c r="J74" s="1087"/>
      <c r="K74" s="1087"/>
      <c r="L74" s="1088"/>
    </row>
    <row r="75" spans="1:13" ht="132.75" customHeight="1" x14ac:dyDescent="0.25">
      <c r="B75" s="1083" t="s">
        <v>503</v>
      </c>
      <c r="C75" s="1084"/>
      <c r="D75" s="1084"/>
      <c r="E75" s="1084"/>
      <c r="F75" s="1084"/>
      <c r="G75" s="1084"/>
      <c r="H75" s="1084"/>
      <c r="I75" s="1084"/>
      <c r="J75" s="1084"/>
      <c r="K75" s="1084"/>
      <c r="L75" s="1085"/>
    </row>
    <row r="76" spans="1:13" ht="50.25" customHeight="1" x14ac:dyDescent="0.25">
      <c r="B76" s="1139" t="s">
        <v>504</v>
      </c>
      <c r="C76" s="1140"/>
      <c r="D76" s="1140"/>
      <c r="E76" s="1140"/>
      <c r="F76" s="1140"/>
      <c r="G76" s="1140"/>
      <c r="H76" s="1140"/>
      <c r="I76" s="1140"/>
      <c r="J76" s="1140"/>
      <c r="K76" s="1140"/>
      <c r="L76" s="1141"/>
    </row>
    <row r="77" spans="1:13" s="40" customFormat="1" ht="15" customHeight="1" x14ac:dyDescent="0.25">
      <c r="B77" s="1142" t="s">
        <v>14</v>
      </c>
      <c r="C77" s="1143"/>
      <c r="D77" s="1143"/>
      <c r="E77" s="1143"/>
      <c r="F77" s="1144"/>
      <c r="G77" s="226">
        <v>6</v>
      </c>
      <c r="H77" s="226">
        <v>5</v>
      </c>
      <c r="I77" s="226">
        <v>4</v>
      </c>
      <c r="J77" s="226">
        <v>3</v>
      </c>
      <c r="K77" s="226">
        <v>2</v>
      </c>
      <c r="L77" s="226">
        <v>1</v>
      </c>
      <c r="M77"/>
    </row>
    <row r="78" spans="1:13" s="40" customFormat="1" ht="15" customHeight="1" x14ac:dyDescent="0.25">
      <c r="B78" s="1130" t="s">
        <v>15</v>
      </c>
      <c r="C78" s="1131"/>
      <c r="D78" s="1131"/>
      <c r="E78" s="1131"/>
      <c r="F78" s="1132"/>
      <c r="G78" s="227">
        <v>1</v>
      </c>
      <c r="H78" s="227">
        <v>0.8</v>
      </c>
      <c r="I78" s="227">
        <v>0.6</v>
      </c>
      <c r="J78" s="227">
        <v>0.5</v>
      </c>
      <c r="K78" s="227">
        <v>0.3</v>
      </c>
      <c r="L78" s="227">
        <v>0.2</v>
      </c>
      <c r="M78"/>
    </row>
    <row r="79" spans="1:13" s="40" customFormat="1" ht="35.25" customHeight="1" x14ac:dyDescent="0.25">
      <c r="B79" s="1213" t="s">
        <v>155</v>
      </c>
      <c r="C79" s="1214"/>
      <c r="D79" s="1214"/>
      <c r="E79" s="1214"/>
      <c r="F79" s="1214"/>
      <c r="G79" s="1214"/>
      <c r="H79" s="1214"/>
      <c r="I79" s="1214"/>
      <c r="J79" s="1214"/>
      <c r="K79" s="1214"/>
      <c r="L79" s="1215"/>
      <c r="M79"/>
    </row>
    <row r="80" spans="1:13" ht="63.75" customHeight="1" x14ac:dyDescent="0.25">
      <c r="B80" s="1136" t="s">
        <v>505</v>
      </c>
      <c r="C80" s="1137"/>
      <c r="D80" s="1137"/>
      <c r="E80" s="1137"/>
      <c r="F80" s="1137"/>
      <c r="G80" s="1137"/>
      <c r="H80" s="1137"/>
      <c r="I80" s="1137"/>
      <c r="J80" s="1137"/>
      <c r="K80" s="1137"/>
      <c r="L80" s="1138"/>
    </row>
    <row r="81" spans="2:13" s="40" customFormat="1" ht="15" customHeight="1" x14ac:dyDescent="0.25">
      <c r="B81" s="1142" t="s">
        <v>14</v>
      </c>
      <c r="C81" s="1143"/>
      <c r="D81" s="1143"/>
      <c r="E81" s="1143"/>
      <c r="F81" s="1144"/>
      <c r="G81" s="226">
        <v>6</v>
      </c>
      <c r="H81" s="226">
        <v>5</v>
      </c>
      <c r="I81" s="226">
        <v>4</v>
      </c>
      <c r="J81" s="226">
        <v>3</v>
      </c>
      <c r="K81" s="226">
        <v>2</v>
      </c>
      <c r="L81" s="226">
        <v>1</v>
      </c>
      <c r="M81"/>
    </row>
    <row r="82" spans="2:13" s="40" customFormat="1" ht="15" customHeight="1" x14ac:dyDescent="0.25">
      <c r="B82" s="1130" t="s">
        <v>15</v>
      </c>
      <c r="C82" s="1131"/>
      <c r="D82" s="1131"/>
      <c r="E82" s="1131"/>
      <c r="F82" s="1132"/>
      <c r="G82" s="227">
        <v>1</v>
      </c>
      <c r="H82" s="227">
        <v>0.8</v>
      </c>
      <c r="I82" s="227">
        <v>0.6</v>
      </c>
      <c r="J82" s="227">
        <v>0.5</v>
      </c>
      <c r="K82" s="227">
        <v>0.3</v>
      </c>
      <c r="L82" s="227">
        <v>0.2</v>
      </c>
      <c r="M82"/>
    </row>
    <row r="83" spans="2:13" s="40" customFormat="1" ht="15" customHeight="1" x14ac:dyDescent="0.25">
      <c r="B83" s="228"/>
      <c r="C83" s="229"/>
      <c r="D83" s="229"/>
      <c r="E83" s="229"/>
      <c r="F83" s="229"/>
      <c r="G83" s="230"/>
      <c r="H83" s="230"/>
      <c r="I83" s="230"/>
      <c r="J83" s="230"/>
      <c r="K83" s="230"/>
      <c r="L83" s="231"/>
      <c r="M83"/>
    </row>
    <row r="84" spans="2:13" ht="15.75" x14ac:dyDescent="0.25">
      <c r="B84" s="1107" t="s">
        <v>439</v>
      </c>
      <c r="C84" s="1108"/>
      <c r="D84" s="1108"/>
      <c r="E84" s="1108"/>
      <c r="F84" s="1108"/>
      <c r="G84" s="1108"/>
      <c r="H84" s="1108"/>
      <c r="I84" s="1108"/>
      <c r="J84" s="1108"/>
      <c r="K84" s="1108"/>
      <c r="L84" s="1109"/>
    </row>
    <row r="85" spans="2:13" ht="33.75" customHeight="1" x14ac:dyDescent="0.25">
      <c r="B85" s="1086" t="s">
        <v>506</v>
      </c>
      <c r="C85" s="1087"/>
      <c r="D85" s="1087"/>
      <c r="E85" s="1087"/>
      <c r="F85" s="1087"/>
      <c r="G85" s="1087"/>
      <c r="H85" s="1087"/>
      <c r="I85" s="1087"/>
      <c r="J85" s="1087"/>
      <c r="K85" s="1087"/>
      <c r="L85" s="1088"/>
    </row>
    <row r="86" spans="2:13" ht="15.75" x14ac:dyDescent="0.25">
      <c r="B86" s="1142" t="s">
        <v>107</v>
      </c>
      <c r="C86" s="1143"/>
      <c r="D86" s="1143"/>
      <c r="E86" s="1143"/>
      <c r="F86" s="1144"/>
      <c r="G86" s="226" t="s">
        <v>108</v>
      </c>
      <c r="H86" s="226">
        <v>2</v>
      </c>
      <c r="I86" s="226">
        <v>1</v>
      </c>
      <c r="J86" s="232"/>
      <c r="K86" s="232"/>
      <c r="L86" s="233"/>
    </row>
    <row r="87" spans="2:13" ht="15.75" x14ac:dyDescent="0.25">
      <c r="B87" s="1130" t="s">
        <v>15</v>
      </c>
      <c r="C87" s="1131"/>
      <c r="D87" s="1131"/>
      <c r="E87" s="1131"/>
      <c r="F87" s="1132"/>
      <c r="G87" s="227">
        <v>1</v>
      </c>
      <c r="H87" s="227">
        <v>0.8</v>
      </c>
      <c r="I87" s="227">
        <v>0.6</v>
      </c>
      <c r="J87" s="232"/>
      <c r="K87" s="232"/>
      <c r="L87" s="233"/>
    </row>
    <row r="88" spans="2:13" ht="15.75" x14ac:dyDescent="0.25">
      <c r="B88" s="1133" t="s">
        <v>507</v>
      </c>
      <c r="C88" s="1134"/>
      <c r="D88" s="1134"/>
      <c r="E88" s="1134"/>
      <c r="F88" s="1134"/>
      <c r="G88" s="1134"/>
      <c r="H88" s="1134"/>
      <c r="I88" s="1134"/>
      <c r="J88" s="1134"/>
      <c r="K88" s="1134"/>
      <c r="L88" s="1135"/>
    </row>
    <row r="89" spans="2:13" ht="36.75" customHeight="1" x14ac:dyDescent="0.25">
      <c r="B89" s="1204" t="s">
        <v>153</v>
      </c>
      <c r="C89" s="1205"/>
      <c r="D89" s="1205"/>
      <c r="E89" s="1205"/>
      <c r="F89" s="1205"/>
      <c r="G89" s="1205"/>
      <c r="H89" s="1205"/>
      <c r="I89" s="1205"/>
      <c r="J89" s="1205"/>
      <c r="K89" s="1205"/>
      <c r="L89" s="1206"/>
    </row>
  </sheetData>
  <sheetProtection formatCells="0" insertHyperlinks="0"/>
  <mergeCells count="96">
    <mergeCell ref="B89:L89"/>
    <mergeCell ref="B70:L70"/>
    <mergeCell ref="B71:L71"/>
    <mergeCell ref="B79:L79"/>
    <mergeCell ref="B45:G45"/>
    <mergeCell ref="B46:G46"/>
    <mergeCell ref="B47:G47"/>
    <mergeCell ref="H54:K54"/>
    <mergeCell ref="H55:K55"/>
    <mergeCell ref="B58:G58"/>
    <mergeCell ref="B59:G59"/>
    <mergeCell ref="B57:G57"/>
    <mergeCell ref="H57:I57"/>
    <mergeCell ref="J57:K57"/>
    <mergeCell ref="B62:L62"/>
    <mergeCell ref="B72:L72"/>
    <mergeCell ref="L23:L24"/>
    <mergeCell ref="B11:L11"/>
    <mergeCell ref="B12:J12"/>
    <mergeCell ref="B18:D18"/>
    <mergeCell ref="B19:D19"/>
    <mergeCell ref="E18:L18"/>
    <mergeCell ref="E19:L19"/>
    <mergeCell ref="H23:I23"/>
    <mergeCell ref="B16:D16"/>
    <mergeCell ref="E16:L16"/>
    <mergeCell ref="D23:G24"/>
    <mergeCell ref="B23:C24"/>
    <mergeCell ref="J23:K23"/>
    <mergeCell ref="F21:H21"/>
    <mergeCell ref="B13:E13"/>
    <mergeCell ref="F13:L13"/>
    <mergeCell ref="F3:G3"/>
    <mergeCell ref="B1:L1"/>
    <mergeCell ref="B9:L9"/>
    <mergeCell ref="B6:L6"/>
    <mergeCell ref="B2:L2"/>
    <mergeCell ref="B3:C3"/>
    <mergeCell ref="B8:L8"/>
    <mergeCell ref="B4:L4"/>
    <mergeCell ref="B7:L7"/>
    <mergeCell ref="B14:E14"/>
    <mergeCell ref="F14:L14"/>
    <mergeCell ref="B60:G60"/>
    <mergeCell ref="B31:G31"/>
    <mergeCell ref="B32:G32"/>
    <mergeCell ref="B41:G41"/>
    <mergeCell ref="B42:G42"/>
    <mergeCell ref="B39:G39"/>
    <mergeCell ref="B27:G27"/>
    <mergeCell ref="B28:G28"/>
    <mergeCell ref="B29:G29"/>
    <mergeCell ref="B52:G52"/>
    <mergeCell ref="B40:G40"/>
    <mergeCell ref="B38:G38"/>
    <mergeCell ref="B35:G35"/>
    <mergeCell ref="H52:K52"/>
    <mergeCell ref="B87:F87"/>
    <mergeCell ref="B88:L88"/>
    <mergeCell ref="B82:F82"/>
    <mergeCell ref="B80:L80"/>
    <mergeCell ref="B76:L76"/>
    <mergeCell ref="B77:F77"/>
    <mergeCell ref="B78:F78"/>
    <mergeCell ref="B81:F81"/>
    <mergeCell ref="B84:L84"/>
    <mergeCell ref="B85:L85"/>
    <mergeCell ref="B86:F86"/>
    <mergeCell ref="D64:G64"/>
    <mergeCell ref="H64:L64"/>
    <mergeCell ref="B66:L66"/>
    <mergeCell ref="B68:L68"/>
    <mergeCell ref="B67:L67"/>
    <mergeCell ref="B75:L75"/>
    <mergeCell ref="B74:L74"/>
    <mergeCell ref="B33:G33"/>
    <mergeCell ref="B34:G34"/>
    <mergeCell ref="B43:G43"/>
    <mergeCell ref="B54:G54"/>
    <mergeCell ref="B55:G55"/>
    <mergeCell ref="B44:G44"/>
    <mergeCell ref="B50:G50"/>
    <mergeCell ref="B51:G51"/>
    <mergeCell ref="B49:G49"/>
    <mergeCell ref="B48:G48"/>
    <mergeCell ref="B73:L73"/>
    <mergeCell ref="B63:C63"/>
    <mergeCell ref="D63:L63"/>
    <mergeCell ref="B64:C64"/>
    <mergeCell ref="B53:G53"/>
    <mergeCell ref="H53:K53"/>
    <mergeCell ref="B25:L25"/>
    <mergeCell ref="B30:L30"/>
    <mergeCell ref="B36:G36"/>
    <mergeCell ref="B26:G26"/>
    <mergeCell ref="B37:G37"/>
  </mergeCells>
  <conditionalFormatting sqref="C21:L21">
    <cfRule type="expression" dxfId="815" priority="1">
      <formula>NOT($Q$26)</formula>
    </cfRule>
  </conditionalFormatting>
  <dataValidations disablePrompts="1" count="1">
    <dataValidation type="list" operator="greaterThanOrEqual" allowBlank="1" showErrorMessage="1" error="Въведете коректна стойност!" sqref="U32:U38" xr:uid="{81805ED7-794D-4A8C-881E-B93A6AD47CD6}">
      <formula1>INDIRECT("T_Практики[Практика и курсова работа]")</formula1>
    </dataValidation>
  </dataValidations>
  <hyperlinks>
    <hyperlink ref="E3" location="BMHomeTotal" display="Общо" xr:uid="{00000000-0004-0000-0500-000000000000}"/>
    <hyperlink ref="D3" location="IPBMD" display="Начало" xr:uid="{00000000-0004-0000-0500-000001000000}"/>
    <hyperlink ref="F3:G3" location="BMHomeOP" display="BMHomeOP" xr:uid="{00000000-0004-0000-0500-000002000000}"/>
    <hyperlink ref="H3" location="ZimenSemestarB" display="ОКС &quot;бакалавър&quot;" xr:uid="{00000000-0004-0000-0500-000003000000}"/>
    <hyperlink ref="I3" location="ZimenSemestarM" display="ОКС &quot;магистър" xr:uid="{00000000-0004-0000-0500-000004000000}"/>
    <hyperlink ref="J3" location="ONSDr" display="ОНС &quot;доктор&quot;" xr:uid="{00000000-0004-0000-0500-000005000000}"/>
    <hyperlink ref="L3" r:id="rId1" xr:uid="{00000000-0004-0000-0500-000006000000}"/>
    <hyperlink ref="K3" location="BMPodgotovkaKurs" display="Подготовка курс" xr:uid="{00000000-0004-0000-0500-000007000000}"/>
  </hyperlinks>
  <printOptions horizontalCentered="1"/>
  <pageMargins left="0.23622047244094491" right="0.23622047244094491" top="0.31496062992125984" bottom="0.59055118110236227" header="0.31496062992125984" footer="0.31496062992125984"/>
  <pageSetup paperSize="9" scale="55" orientation="portrait" r:id="rId2"/>
  <headerFooter>
    <oddFooter>&amp;RПодпис:...................................................................</oddFooter>
  </headerFooter>
  <ignoredErrors>
    <ignoredError sqref="E21:L21 B6 B13:L13 B8 E18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41" r:id="rId5" name="Check Box 69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20</xdr:row>
                    <xdr:rowOff>38100</xdr:rowOff>
                  </from>
                  <to>
                    <xdr:col>1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">
    <pageSetUpPr fitToPage="1"/>
  </sheetPr>
  <dimension ref="A1:AM89"/>
  <sheetViews>
    <sheetView showGridLines="0" showRowColHeaders="0" zoomScale="90" zoomScaleNormal="90" workbookViewId="0">
      <pane ySplit="4" topLeftCell="A8" activePane="bottomLeft" state="frozen"/>
      <selection pane="bottomLeft" activeCell="B14" sqref="B14:E14"/>
    </sheetView>
  </sheetViews>
  <sheetFormatPr defaultRowHeight="15" x14ac:dyDescent="0.25"/>
  <cols>
    <col min="1" max="1" width="2.5703125" style="38" customWidth="1"/>
    <col min="2" max="3" width="11.5703125" style="1" customWidth="1"/>
    <col min="4" max="4" width="20" style="1" customWidth="1"/>
    <col min="5" max="5" width="5.140625" style="1" bestFit="1" customWidth="1"/>
    <col min="6" max="7" width="14.140625" style="1" customWidth="1"/>
    <col min="8" max="11" width="15.7109375" style="1" customWidth="1"/>
    <col min="12" max="12" width="13.85546875" style="1" bestFit="1" customWidth="1"/>
    <col min="13" max="13" width="9.140625" customWidth="1"/>
    <col min="14" max="15" width="10.140625" customWidth="1"/>
    <col min="16" max="16" width="8.140625" customWidth="1"/>
    <col min="17" max="17" width="5" bestFit="1" customWidth="1"/>
    <col min="18" max="18" width="9.140625" style="38" customWidth="1"/>
    <col min="19" max="19" width="13.85546875" style="38" customWidth="1"/>
    <col min="20" max="39" width="9.140625" style="38" customWidth="1"/>
    <col min="40" max="16384" width="9.140625" style="38"/>
  </cols>
  <sheetData>
    <row r="1" spans="2:19" ht="15.75" x14ac:dyDescent="0.25">
      <c r="B1" s="1164" t="s">
        <v>0</v>
      </c>
      <c r="C1" s="1164"/>
      <c r="D1" s="1164"/>
      <c r="E1" s="1164"/>
      <c r="F1" s="1164"/>
      <c r="G1" s="1164"/>
      <c r="H1" s="1164"/>
      <c r="I1" s="1164"/>
      <c r="J1" s="1164"/>
      <c r="K1" s="1164"/>
      <c r="L1" s="1164"/>
    </row>
    <row r="2" spans="2:19" ht="51" customHeight="1" thickBot="1" x14ac:dyDescent="0.3">
      <c r="B2" s="1167" t="s">
        <v>165</v>
      </c>
      <c r="C2" s="1164"/>
      <c r="D2" s="1164"/>
      <c r="E2" s="1164"/>
      <c r="F2" s="1164"/>
      <c r="G2" s="1164"/>
      <c r="H2" s="1164"/>
      <c r="I2" s="1164"/>
      <c r="J2" s="1164"/>
      <c r="K2" s="1164"/>
      <c r="L2" s="1164"/>
    </row>
    <row r="3" spans="2:19" s="39" customFormat="1" ht="16.5" x14ac:dyDescent="0.3">
      <c r="B3" s="1302" t="s">
        <v>1</v>
      </c>
      <c r="C3" s="1303"/>
      <c r="D3" s="1306" t="s">
        <v>2</v>
      </c>
      <c r="E3" s="1297" t="s">
        <v>3</v>
      </c>
      <c r="F3" s="1297"/>
      <c r="G3" s="903"/>
      <c r="H3" s="1298" t="s">
        <v>67</v>
      </c>
      <c r="I3" s="1298"/>
      <c r="J3" s="904" t="s">
        <v>69</v>
      </c>
      <c r="K3" s="903"/>
      <c r="L3" s="1300" t="s">
        <v>119</v>
      </c>
      <c r="M3"/>
      <c r="N3"/>
      <c r="O3"/>
      <c r="P3"/>
      <c r="Q3"/>
    </row>
    <row r="4" spans="2:19" s="39" customFormat="1" ht="16.5" customHeight="1" thickBot="1" x14ac:dyDescent="0.35">
      <c r="B4" s="1304"/>
      <c r="C4" s="1305"/>
      <c r="D4" s="1307"/>
      <c r="E4" s="1293" t="s">
        <v>4</v>
      </c>
      <c r="F4" s="1293"/>
      <c r="G4" s="905"/>
      <c r="H4" s="1299" t="s">
        <v>68</v>
      </c>
      <c r="I4" s="1299"/>
      <c r="J4" s="906" t="s">
        <v>151</v>
      </c>
      <c r="K4" s="905"/>
      <c r="L4" s="1301"/>
      <c r="M4"/>
      <c r="N4"/>
      <c r="O4"/>
      <c r="P4"/>
      <c r="Q4"/>
    </row>
    <row r="5" spans="2:19" ht="24.75" customHeight="1" x14ac:dyDescent="0.25">
      <c r="B5" s="1294" t="s">
        <v>297</v>
      </c>
      <c r="C5" s="1294"/>
      <c r="D5" s="1294"/>
      <c r="E5" s="1294"/>
      <c r="F5" s="1294"/>
      <c r="G5" s="1294"/>
      <c r="H5" s="1294"/>
      <c r="I5" s="1294"/>
      <c r="J5" s="1294"/>
      <c r="K5" s="1294"/>
      <c r="L5" s="1294"/>
    </row>
    <row r="7" spans="2:19" ht="24.95" customHeight="1" x14ac:dyDescent="0.25">
      <c r="B7" s="1295"/>
      <c r="C7" s="1295"/>
      <c r="D7" s="1295"/>
      <c r="E7" s="1295"/>
      <c r="F7" s="1295"/>
      <c r="G7" s="1295"/>
      <c r="H7" s="1295"/>
      <c r="I7" s="1295"/>
      <c r="J7" s="1295"/>
      <c r="K7" s="1295"/>
      <c r="L7" s="1295"/>
    </row>
    <row r="8" spans="2:19" ht="21" customHeight="1" x14ac:dyDescent="0.25">
      <c r="B8" s="1172" t="s">
        <v>5</v>
      </c>
      <c r="C8" s="1172"/>
      <c r="D8" s="1172"/>
      <c r="E8" s="1172"/>
      <c r="F8" s="1172"/>
      <c r="G8" s="1172"/>
      <c r="H8" s="1172"/>
      <c r="I8" s="1172"/>
      <c r="J8" s="1172"/>
      <c r="K8" s="1172"/>
      <c r="L8" s="1172"/>
    </row>
    <row r="9" spans="2:19" ht="24.95" customHeight="1" x14ac:dyDescent="0.25">
      <c r="B9" s="1296"/>
      <c r="C9" s="1296"/>
      <c r="D9" s="1296"/>
      <c r="E9" s="1296"/>
      <c r="F9" s="1296"/>
      <c r="G9" s="1296"/>
      <c r="H9" s="1296"/>
      <c r="I9" s="1296"/>
      <c r="J9" s="1296"/>
      <c r="K9" s="1296"/>
      <c r="L9" s="1296"/>
    </row>
    <row r="10" spans="2:19" x14ac:dyDescent="0.25">
      <c r="B10" s="1165" t="s">
        <v>6</v>
      </c>
      <c r="C10" s="1165"/>
      <c r="D10" s="1165"/>
      <c r="E10" s="1165"/>
      <c r="F10" s="1165"/>
      <c r="G10" s="1165"/>
      <c r="H10" s="1165"/>
      <c r="I10" s="1165"/>
      <c r="J10" s="1165"/>
      <c r="K10" s="1165"/>
      <c r="L10" s="1165"/>
    </row>
    <row r="11" spans="2:19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9" ht="27.75" x14ac:dyDescent="0.4">
      <c r="B12" s="1175" t="s">
        <v>7</v>
      </c>
      <c r="C12" s="1175"/>
      <c r="D12" s="1175"/>
      <c r="E12" s="1175"/>
      <c r="F12" s="1175"/>
      <c r="G12" s="1175"/>
      <c r="H12" s="1175"/>
      <c r="I12" s="1175"/>
      <c r="J12" s="1175"/>
      <c r="K12" s="1175"/>
      <c r="L12" s="1175"/>
      <c r="S12" s="434"/>
    </row>
    <row r="13" spans="2:19" x14ac:dyDescent="0.25">
      <c r="B13" s="1176"/>
      <c r="C13" s="1176"/>
      <c r="D13" s="1176"/>
      <c r="E13" s="1176"/>
      <c r="F13" s="1176"/>
      <c r="G13" s="1176"/>
      <c r="H13" s="1176"/>
      <c r="I13" s="1176"/>
      <c r="J13" s="1176"/>
      <c r="K13" s="428"/>
      <c r="L13" s="428"/>
      <c r="S13" s="434"/>
    </row>
    <row r="14" spans="2:19" ht="24.95" customHeight="1" x14ac:dyDescent="0.25">
      <c r="B14" s="1291"/>
      <c r="C14" s="1292"/>
      <c r="D14" s="1292"/>
      <c r="E14" s="1292"/>
      <c r="F14" s="1201"/>
      <c r="G14" s="1202"/>
      <c r="H14" s="1202"/>
      <c r="I14" s="1202"/>
      <c r="J14" s="1202"/>
      <c r="K14" s="1202"/>
      <c r="L14" s="1203"/>
      <c r="S14" s="434"/>
    </row>
    <row r="15" spans="2:19" x14ac:dyDescent="0.25">
      <c r="B15" s="1145" t="s">
        <v>624</v>
      </c>
      <c r="C15" s="1145"/>
      <c r="D15" s="1145"/>
      <c r="E15" s="1145"/>
      <c r="F15" s="1146" t="s">
        <v>625</v>
      </c>
      <c r="G15" s="1146"/>
      <c r="H15" s="1146"/>
      <c r="I15" s="1146"/>
      <c r="J15" s="1146"/>
      <c r="K15" s="1146"/>
      <c r="L15" s="1146"/>
    </row>
    <row r="16" spans="2:19" x14ac:dyDescent="0.25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S16" s="434"/>
    </row>
    <row r="17" spans="2:39" ht="30" customHeight="1" x14ac:dyDescent="0.25">
      <c r="B17" s="1183" t="s">
        <v>296</v>
      </c>
      <c r="C17" s="1183"/>
      <c r="D17" s="1183"/>
      <c r="E17" s="1184"/>
      <c r="F17" s="1185"/>
      <c r="G17" s="1185"/>
      <c r="H17" s="1185"/>
      <c r="I17" s="1185"/>
      <c r="J17" s="1185"/>
      <c r="K17" s="1185"/>
      <c r="L17" s="1186"/>
      <c r="AH17"/>
      <c r="AI17"/>
      <c r="AM17" s="122"/>
    </row>
    <row r="18" spans="2:39" x14ac:dyDescent="0.25">
      <c r="B18" s="428"/>
      <c r="C18" s="428"/>
      <c r="D18" s="428"/>
      <c r="E18" s="428"/>
      <c r="F18" s="428"/>
      <c r="G18" s="428"/>
      <c r="H18" s="428"/>
      <c r="I18" s="428"/>
      <c r="J18" s="428"/>
      <c r="K18" s="428"/>
      <c r="L18" s="428"/>
      <c r="AH18"/>
      <c r="AI18"/>
    </row>
    <row r="19" spans="2:39" ht="16.5" customHeight="1" x14ac:dyDescent="0.25">
      <c r="B19" s="1177" t="s">
        <v>8</v>
      </c>
      <c r="C19" s="1177"/>
      <c r="D19" s="1177"/>
      <c r="E19" s="1289"/>
      <c r="F19" s="1289"/>
      <c r="G19" s="1289"/>
      <c r="H19" s="1289"/>
      <c r="I19" s="1289"/>
      <c r="J19" s="1289"/>
      <c r="K19" s="1289"/>
      <c r="L19" s="1289"/>
    </row>
    <row r="20" spans="2:39" x14ac:dyDescent="0.25">
      <c r="B20" s="1178" t="s">
        <v>164</v>
      </c>
      <c r="C20" s="1178"/>
      <c r="D20" s="1178"/>
      <c r="E20" s="1180" t="str">
        <f>IF(E19=0,list!B82,VLOOKUP(E19,RakovodnaDl[],2,0))</f>
        <v>няма определена</v>
      </c>
      <c r="F20" s="1180"/>
      <c r="G20" s="1180"/>
      <c r="H20" s="1180"/>
      <c r="I20" s="1180"/>
      <c r="J20" s="1180"/>
      <c r="K20" s="1180"/>
      <c r="L20" s="1180"/>
    </row>
    <row r="21" spans="2:39" ht="9.9499999999999993" customHeight="1" x14ac:dyDescent="0.25">
      <c r="B21"/>
      <c r="C21"/>
      <c r="D21"/>
      <c r="E21"/>
      <c r="F21"/>
      <c r="G21"/>
      <c r="H21"/>
      <c r="I21"/>
      <c r="J21"/>
      <c r="K21"/>
      <c r="L21"/>
      <c r="R21"/>
      <c r="S21"/>
    </row>
    <row r="22" spans="2:39" s="361" customFormat="1" ht="20.100000000000001" customHeight="1" x14ac:dyDescent="0.3">
      <c r="B22" s="437" t="s">
        <v>527</v>
      </c>
      <c r="C22" s="363" t="s">
        <v>528</v>
      </c>
      <c r="D22" s="364"/>
      <c r="E22" s="363" t="s">
        <v>529</v>
      </c>
      <c r="F22" s="1196"/>
      <c r="G22" s="1197"/>
      <c r="H22" s="1198"/>
      <c r="I22" s="363" t="s">
        <v>530</v>
      </c>
      <c r="J22" s="431"/>
      <c r="K22" s="366" t="s">
        <v>531</v>
      </c>
      <c r="L22" s="431"/>
      <c r="M22"/>
      <c r="N22"/>
      <c r="O22"/>
      <c r="P22"/>
      <c r="Q22"/>
      <c r="S22" s="436"/>
    </row>
    <row r="23" spans="2:39" customFormat="1" ht="9.9499999999999993" customHeight="1" thickBot="1" x14ac:dyDescent="0.3"/>
    <row r="24" spans="2:39" ht="33" customHeight="1" x14ac:dyDescent="0.25">
      <c r="B24" s="1191" t="s">
        <v>437</v>
      </c>
      <c r="C24" s="1192"/>
      <c r="D24" s="1187" t="str">
        <f>ПЕРИОД!D9</f>
        <v>2020/2021</v>
      </c>
      <c r="E24" s="1187"/>
      <c r="F24" s="1187"/>
      <c r="G24" s="1188"/>
      <c r="H24" s="1181" t="s">
        <v>156</v>
      </c>
      <c r="I24" s="1182"/>
      <c r="J24" s="1290" t="s">
        <v>68</v>
      </c>
      <c r="K24" s="1182"/>
      <c r="L24" s="1173" t="s">
        <v>69</v>
      </c>
    </row>
    <row r="25" spans="2:39" ht="16.5" customHeight="1" thickBot="1" x14ac:dyDescent="0.3">
      <c r="B25" s="1193"/>
      <c r="C25" s="1194"/>
      <c r="D25" s="1189"/>
      <c r="E25" s="1189"/>
      <c r="F25" s="1189"/>
      <c r="G25" s="1190"/>
      <c r="H25" s="379" t="s">
        <v>538</v>
      </c>
      <c r="I25" s="380" t="s">
        <v>539</v>
      </c>
      <c r="J25" s="379" t="s">
        <v>538</v>
      </c>
      <c r="K25" s="380" t="s">
        <v>539</v>
      </c>
      <c r="L25" s="1174"/>
    </row>
    <row r="26" spans="2:39" s="114" customFormat="1" ht="20.100000000000001" customHeight="1" thickBot="1" x14ac:dyDescent="0.3">
      <c r="B26" s="1275" t="s">
        <v>9</v>
      </c>
      <c r="C26" s="1276"/>
      <c r="D26" s="1276"/>
      <c r="E26" s="1276"/>
      <c r="F26" s="1276"/>
      <c r="G26" s="1276"/>
      <c r="H26" s="1276"/>
      <c r="I26" s="1276"/>
      <c r="J26" s="1276"/>
      <c r="K26" s="1276"/>
      <c r="L26" s="1277"/>
      <c r="M26"/>
      <c r="N26"/>
      <c r="O26"/>
      <c r="P26"/>
      <c r="Q26"/>
    </row>
    <row r="27" spans="2:39" ht="20.100000000000001" customHeight="1" x14ac:dyDescent="0.25">
      <c r="B27" s="1105" t="s">
        <v>426</v>
      </c>
      <c r="C27" s="1106"/>
      <c r="D27" s="1106"/>
      <c r="E27" s="1106"/>
      <c r="F27" s="1106"/>
      <c r="G27" s="1106"/>
      <c r="H27" s="384">
        <f>'1. Планд'!H26</f>
        <v>0</v>
      </c>
      <c r="I27" s="385">
        <f>'1. Планд'!I26</f>
        <v>0</v>
      </c>
      <c r="J27" s="386">
        <f>'1. Планд'!J26</f>
        <v>0</v>
      </c>
      <c r="K27" s="387">
        <f>'1. Планд'!K26</f>
        <v>0</v>
      </c>
      <c r="L27" s="388">
        <f>'1. Планд'!L26</f>
        <v>0</v>
      </c>
    </row>
    <row r="28" spans="2:39" ht="20.100000000000001" customHeight="1" thickBot="1" x14ac:dyDescent="0.3">
      <c r="B28" s="1097" t="s">
        <v>427</v>
      </c>
      <c r="C28" s="1098"/>
      <c r="D28" s="1098"/>
      <c r="E28" s="1098"/>
      <c r="F28" s="1098"/>
      <c r="G28" s="1098"/>
      <c r="H28" s="389">
        <f>'1. Планд'!H27</f>
        <v>0</v>
      </c>
      <c r="I28" s="390">
        <f>'1. Планд'!I27</f>
        <v>0</v>
      </c>
      <c r="J28" s="391">
        <f>'1. Планд'!J27</f>
        <v>0</v>
      </c>
      <c r="K28" s="200">
        <f>'1. Планд'!K27</f>
        <v>0</v>
      </c>
      <c r="L28" s="392">
        <f>'1. Планд'!L27</f>
        <v>0</v>
      </c>
    </row>
    <row r="29" spans="2:39" ht="20.100000000000001" customHeight="1" thickTop="1" x14ac:dyDescent="0.25">
      <c r="B29" s="1105" t="s">
        <v>428</v>
      </c>
      <c r="C29" s="1106"/>
      <c r="D29" s="1106"/>
      <c r="E29" s="1106"/>
      <c r="F29" s="1106"/>
      <c r="G29" s="1106"/>
      <c r="H29" s="393">
        <f>'1. Планд'!H28</f>
        <v>0</v>
      </c>
      <c r="I29" s="394">
        <f>'1. Планд'!I28</f>
        <v>0</v>
      </c>
      <c r="J29" s="386">
        <f>'1. Планд'!J28</f>
        <v>0</v>
      </c>
      <c r="K29" s="387">
        <f>'1. Планд'!K28</f>
        <v>0</v>
      </c>
      <c r="L29" s="395">
        <f>'1. Планд'!L28</f>
        <v>0</v>
      </c>
    </row>
    <row r="30" spans="2:39" ht="20.100000000000001" customHeight="1" thickBot="1" x14ac:dyDescent="0.3">
      <c r="B30" s="1153" t="s">
        <v>429</v>
      </c>
      <c r="C30" s="1154"/>
      <c r="D30" s="1154"/>
      <c r="E30" s="1154"/>
      <c r="F30" s="1154"/>
      <c r="G30" s="1154"/>
      <c r="H30" s="574">
        <f>'1. Планд'!H29</f>
        <v>0</v>
      </c>
      <c r="I30" s="575">
        <f>'1. Планд'!I29</f>
        <v>0</v>
      </c>
      <c r="J30" s="576">
        <f>'1. Планд'!J29</f>
        <v>0</v>
      </c>
      <c r="K30" s="577">
        <f>'1. Планд'!K29</f>
        <v>0</v>
      </c>
      <c r="L30" s="578">
        <f>'1. Планд'!L29</f>
        <v>0</v>
      </c>
    </row>
    <row r="31" spans="2:39" ht="20.100000000000001" customHeight="1" thickBot="1" x14ac:dyDescent="0.3">
      <c r="B31" s="1278" t="s">
        <v>10</v>
      </c>
      <c r="C31" s="1279"/>
      <c r="D31" s="1279"/>
      <c r="E31" s="1279"/>
      <c r="F31" s="1279"/>
      <c r="G31" s="1279"/>
      <c r="H31" s="1279"/>
      <c r="I31" s="1279"/>
      <c r="J31" s="1279"/>
      <c r="K31" s="1279"/>
      <c r="L31" s="1280"/>
      <c r="W31" s="433"/>
    </row>
    <row r="32" spans="2:39" ht="27" customHeight="1" thickBot="1" x14ac:dyDescent="0.3">
      <c r="B32" s="1281" t="s">
        <v>430</v>
      </c>
      <c r="C32" s="1282"/>
      <c r="D32" s="1282"/>
      <c r="E32" s="1282"/>
      <c r="F32" s="1282"/>
      <c r="G32" s="1282"/>
      <c r="H32" s="496">
        <f>SUM(H33:H39)</f>
        <v>0</v>
      </c>
      <c r="I32" s="497">
        <f>SUM(I33:I39)</f>
        <v>0</v>
      </c>
      <c r="J32" s="496">
        <f>SUM(J33:J39)</f>
        <v>0</v>
      </c>
      <c r="K32" s="497">
        <f>SUM(K33:K39)</f>
        <v>0</v>
      </c>
      <c r="L32" s="583">
        <v>0</v>
      </c>
      <c r="W32" s="433"/>
    </row>
    <row r="33" spans="2:24" ht="24.95" customHeight="1" thickTop="1" x14ac:dyDescent="0.25">
      <c r="B33" s="1283" t="s">
        <v>640</v>
      </c>
      <c r="C33" s="1284"/>
      <c r="D33" s="1284"/>
      <c r="E33" s="1284"/>
      <c r="F33" s="1284"/>
      <c r="G33" s="1284"/>
      <c r="H33" s="498">
        <f>'1. Планд'!H32</f>
        <v>0</v>
      </c>
      <c r="I33" s="499">
        <f>'1. Планд'!I32</f>
        <v>0</v>
      </c>
      <c r="J33" s="498">
        <f>'1. Планд'!J32</f>
        <v>0</v>
      </c>
      <c r="K33" s="499">
        <f>'1. Планд'!K32</f>
        <v>0</v>
      </c>
      <c r="L33" s="376">
        <v>0</v>
      </c>
    </row>
    <row r="34" spans="2:24" ht="24.95" customHeight="1" thickBot="1" x14ac:dyDescent="0.3">
      <c r="B34" s="1285" t="s">
        <v>641</v>
      </c>
      <c r="C34" s="1286"/>
      <c r="D34" s="1286"/>
      <c r="E34" s="1286"/>
      <c r="F34" s="1286"/>
      <c r="G34" s="1286"/>
      <c r="H34" s="502">
        <f>'1. Планд'!H33</f>
        <v>0</v>
      </c>
      <c r="I34" s="503">
        <f>'1. Планд'!I33</f>
        <v>0</v>
      </c>
      <c r="J34" s="502">
        <f>'1. Планд'!J33</f>
        <v>0</v>
      </c>
      <c r="K34" s="503">
        <f>'1. Планд'!K33</f>
        <v>0</v>
      </c>
      <c r="L34" s="378">
        <v>0</v>
      </c>
    </row>
    <row r="35" spans="2:24" ht="24.95" customHeight="1" thickTop="1" x14ac:dyDescent="0.25">
      <c r="B35" s="1283" t="s">
        <v>544</v>
      </c>
      <c r="C35" s="1284"/>
      <c r="D35" s="1284"/>
      <c r="E35" s="1284"/>
      <c r="F35" s="1284"/>
      <c r="G35" s="1284"/>
      <c r="H35" s="598">
        <f>'1. Планд'!H34</f>
        <v>0</v>
      </c>
      <c r="I35" s="599">
        <f>'1. Планд'!I34</f>
        <v>0</v>
      </c>
      <c r="J35" s="598">
        <f>'1. Планд'!J34</f>
        <v>0</v>
      </c>
      <c r="K35" s="599">
        <f>'1. Планд'!K34</f>
        <v>0</v>
      </c>
      <c r="L35" s="376">
        <v>0</v>
      </c>
    </row>
    <row r="36" spans="2:24" ht="35.1" customHeight="1" x14ac:dyDescent="0.25">
      <c r="B36" s="1287" t="s">
        <v>545</v>
      </c>
      <c r="C36" s="1288"/>
      <c r="D36" s="1288"/>
      <c r="E36" s="1288"/>
      <c r="F36" s="1288"/>
      <c r="G36" s="1288"/>
      <c r="H36" s="500">
        <f>'1. Планд'!H35</f>
        <v>0</v>
      </c>
      <c r="I36" s="501">
        <f>'1. Планд'!I35</f>
        <v>0</v>
      </c>
      <c r="J36" s="500">
        <f>'1. Планд'!J35</f>
        <v>0</v>
      </c>
      <c r="K36" s="501">
        <f>'1. Планд'!K35</f>
        <v>0</v>
      </c>
      <c r="L36" s="377">
        <v>0</v>
      </c>
    </row>
    <row r="37" spans="2:24" ht="24.95" customHeight="1" x14ac:dyDescent="0.25">
      <c r="B37" s="1287" t="s">
        <v>546</v>
      </c>
      <c r="C37" s="1288"/>
      <c r="D37" s="1288"/>
      <c r="E37" s="1288"/>
      <c r="F37" s="1288"/>
      <c r="G37" s="1288"/>
      <c r="H37" s="500">
        <f>'1. Планд'!H36</f>
        <v>0</v>
      </c>
      <c r="I37" s="501">
        <f>'1. Планд'!I36</f>
        <v>0</v>
      </c>
      <c r="J37" s="500">
        <f>'1. Планд'!J36</f>
        <v>0</v>
      </c>
      <c r="K37" s="501">
        <f>'1. Планд'!K36</f>
        <v>0</v>
      </c>
      <c r="L37" s="377">
        <v>0</v>
      </c>
    </row>
    <row r="38" spans="2:24" ht="24.95" customHeight="1" x14ac:dyDescent="0.25">
      <c r="B38" s="1287" t="s">
        <v>547</v>
      </c>
      <c r="C38" s="1288"/>
      <c r="D38" s="1288"/>
      <c r="E38" s="1288"/>
      <c r="F38" s="1288"/>
      <c r="G38" s="1288"/>
      <c r="H38" s="500">
        <f>'1. Планд'!H37</f>
        <v>0</v>
      </c>
      <c r="I38" s="501">
        <f>'1. Планд'!I37</f>
        <v>0</v>
      </c>
      <c r="J38" s="500">
        <f>'1. Планд'!J37</f>
        <v>0</v>
      </c>
      <c r="K38" s="501">
        <f>'1. Планд'!K37</f>
        <v>0</v>
      </c>
      <c r="L38" s="377">
        <v>0</v>
      </c>
    </row>
    <row r="39" spans="2:24" ht="24.95" customHeight="1" thickBot="1" x14ac:dyDescent="0.3">
      <c r="B39" s="1285" t="s">
        <v>548</v>
      </c>
      <c r="C39" s="1286"/>
      <c r="D39" s="1286"/>
      <c r="E39" s="1286"/>
      <c r="F39" s="1286"/>
      <c r="G39" s="1286"/>
      <c r="H39" s="502">
        <f>'1. Планд'!H38</f>
        <v>0</v>
      </c>
      <c r="I39" s="503">
        <f>'1. Планд'!I38</f>
        <v>0</v>
      </c>
      <c r="J39" s="502">
        <f>'1. Планд'!J38</f>
        <v>0</v>
      </c>
      <c r="K39" s="503">
        <f>'1. Планд'!K38</f>
        <v>0</v>
      </c>
      <c r="L39" s="378">
        <v>0</v>
      </c>
    </row>
    <row r="40" spans="2:24" ht="24.95" customHeight="1" thickTop="1" x14ac:dyDescent="0.25">
      <c r="B40" s="1105" t="s">
        <v>431</v>
      </c>
      <c r="C40" s="1106"/>
      <c r="D40" s="1106"/>
      <c r="E40" s="1106"/>
      <c r="F40" s="1106"/>
      <c r="G40" s="1106"/>
      <c r="H40" s="407">
        <f>'1. Планд'!H39</f>
        <v>0</v>
      </c>
      <c r="I40" s="408">
        <f>'1. Планд'!I39</f>
        <v>0</v>
      </c>
      <c r="J40" s="409">
        <f>'1. Планд'!J39</f>
        <v>0</v>
      </c>
      <c r="K40" s="408">
        <f>'1. Планд'!K39</f>
        <v>0</v>
      </c>
      <c r="L40" s="376">
        <v>0</v>
      </c>
    </row>
    <row r="41" spans="2:24" ht="24.95" customHeight="1" x14ac:dyDescent="0.25">
      <c r="B41" s="1089" t="s">
        <v>311</v>
      </c>
      <c r="C41" s="1090"/>
      <c r="D41" s="1090"/>
      <c r="E41" s="1090"/>
      <c r="F41" s="1090"/>
      <c r="G41" s="1090"/>
      <c r="H41" s="410">
        <f>'1. Планд'!H40</f>
        <v>0</v>
      </c>
      <c r="I41" s="411">
        <f>'1. Планд'!I40</f>
        <v>0</v>
      </c>
      <c r="J41" s="412">
        <f>'1. Планд'!J40</f>
        <v>0</v>
      </c>
      <c r="K41" s="411">
        <f>'1. Планд'!K40</f>
        <v>0</v>
      </c>
      <c r="L41" s="377">
        <v>0</v>
      </c>
    </row>
    <row r="42" spans="2:24" ht="24.95" customHeight="1" thickBot="1" x14ac:dyDescent="0.3">
      <c r="B42" s="1097" t="s">
        <v>432</v>
      </c>
      <c r="C42" s="1098"/>
      <c r="D42" s="1098"/>
      <c r="E42" s="1098"/>
      <c r="F42" s="1098"/>
      <c r="G42" s="1098"/>
      <c r="H42" s="413">
        <f>'1. Планд'!H41</f>
        <v>0</v>
      </c>
      <c r="I42" s="414">
        <f>'1. Планд'!I41</f>
        <v>0</v>
      </c>
      <c r="J42" s="415">
        <f>'1. Планд'!J41</f>
        <v>0</v>
      </c>
      <c r="K42" s="414">
        <f>'1. Планд'!K41</f>
        <v>0</v>
      </c>
      <c r="L42" s="378">
        <v>0</v>
      </c>
    </row>
    <row r="43" spans="2:24" ht="24.95" customHeight="1" thickTop="1" x14ac:dyDescent="0.25">
      <c r="B43" s="1105" t="s">
        <v>433</v>
      </c>
      <c r="C43" s="1106"/>
      <c r="D43" s="1106"/>
      <c r="E43" s="1106"/>
      <c r="F43" s="1106"/>
      <c r="G43" s="1106"/>
      <c r="H43" s="407">
        <f>'1. Планд'!H42</f>
        <v>0</v>
      </c>
      <c r="I43" s="408">
        <f>'1. Планд'!I42</f>
        <v>0</v>
      </c>
      <c r="J43" s="409">
        <f>'1. Планд'!J42</f>
        <v>0</v>
      </c>
      <c r="K43" s="408">
        <f>'1. Планд'!K42</f>
        <v>0</v>
      </c>
      <c r="L43" s="376">
        <v>0</v>
      </c>
    </row>
    <row r="44" spans="2:24" ht="24.95" customHeight="1" x14ac:dyDescent="0.25">
      <c r="B44" s="1089" t="s">
        <v>434</v>
      </c>
      <c r="C44" s="1090"/>
      <c r="D44" s="1090"/>
      <c r="E44" s="1090"/>
      <c r="F44" s="1090"/>
      <c r="G44" s="1090"/>
      <c r="H44" s="410">
        <f>'1. Планд'!H43</f>
        <v>0</v>
      </c>
      <c r="I44" s="411">
        <f>'1. Планд'!I43</f>
        <v>0</v>
      </c>
      <c r="J44" s="412">
        <f>'1. Планд'!J43</f>
        <v>0</v>
      </c>
      <c r="K44" s="411">
        <f>'1. Планд'!K43</f>
        <v>0</v>
      </c>
      <c r="L44" s="377">
        <v>0</v>
      </c>
    </row>
    <row r="45" spans="2:24" ht="24.95" customHeight="1" thickBot="1" x14ac:dyDescent="0.3">
      <c r="B45" s="1097" t="s">
        <v>435</v>
      </c>
      <c r="C45" s="1098"/>
      <c r="D45" s="1098"/>
      <c r="E45" s="1098"/>
      <c r="F45" s="1098"/>
      <c r="G45" s="1098"/>
      <c r="H45" s="413">
        <f>'1. Планд'!H44</f>
        <v>0</v>
      </c>
      <c r="I45" s="414">
        <f>'1. Планд'!I44</f>
        <v>0</v>
      </c>
      <c r="J45" s="415">
        <f>'1. Планд'!J44</f>
        <v>0</v>
      </c>
      <c r="K45" s="414">
        <f>'1. Планд'!K44</f>
        <v>0</v>
      </c>
      <c r="L45" s="378">
        <v>0</v>
      </c>
    </row>
    <row r="46" spans="2:24" ht="24.95" customHeight="1" thickTop="1" x14ac:dyDescent="0.25">
      <c r="B46" s="1105" t="s">
        <v>310</v>
      </c>
      <c r="C46" s="1106"/>
      <c r="D46" s="1106"/>
      <c r="E46" s="1106"/>
      <c r="F46" s="1106"/>
      <c r="G46" s="1106"/>
      <c r="H46" s="407">
        <f>'1. Планд'!H45</f>
        <v>0</v>
      </c>
      <c r="I46" s="408">
        <f>'1. Планд'!I45</f>
        <v>0</v>
      </c>
      <c r="J46" s="409">
        <f>'1. Планд'!J45</f>
        <v>0</v>
      </c>
      <c r="K46" s="408">
        <f>'1. Планд'!K45</f>
        <v>0</v>
      </c>
      <c r="L46" s="376">
        <v>0</v>
      </c>
      <c r="X46" s="432"/>
    </row>
    <row r="47" spans="2:24" ht="24.95" customHeight="1" x14ac:dyDescent="0.25">
      <c r="B47" s="1089" t="s">
        <v>309</v>
      </c>
      <c r="C47" s="1090"/>
      <c r="D47" s="1090"/>
      <c r="E47" s="1090"/>
      <c r="F47" s="1090"/>
      <c r="G47" s="1090"/>
      <c r="H47" s="410">
        <f>'1. Планд'!H46</f>
        <v>0</v>
      </c>
      <c r="I47" s="411">
        <f>'1. Планд'!I46</f>
        <v>0</v>
      </c>
      <c r="J47" s="412">
        <f>'1. Планд'!J46</f>
        <v>0</v>
      </c>
      <c r="K47" s="411">
        <f>'1. Планд'!K46</f>
        <v>0</v>
      </c>
      <c r="L47" s="377">
        <v>0</v>
      </c>
    </row>
    <row r="48" spans="2:24" ht="24.95" customHeight="1" thickBot="1" x14ac:dyDescent="0.3">
      <c r="B48" s="1097" t="s">
        <v>308</v>
      </c>
      <c r="C48" s="1098"/>
      <c r="D48" s="1098"/>
      <c r="E48" s="1098"/>
      <c r="F48" s="1098"/>
      <c r="G48" s="1098"/>
      <c r="H48" s="413">
        <f>'1. Планд'!H47</f>
        <v>0</v>
      </c>
      <c r="I48" s="414">
        <f>'1. Планд'!I47</f>
        <v>0</v>
      </c>
      <c r="J48" s="415">
        <f>'1. Планд'!J47</f>
        <v>0</v>
      </c>
      <c r="K48" s="414">
        <f>'1. Планд'!K47</f>
        <v>0</v>
      </c>
      <c r="L48" s="378">
        <v>0</v>
      </c>
    </row>
    <row r="49" spans="2:12" ht="24.95" customHeight="1" thickTop="1" x14ac:dyDescent="0.25">
      <c r="B49" s="1268" t="s">
        <v>307</v>
      </c>
      <c r="C49" s="1269"/>
      <c r="D49" s="1269"/>
      <c r="E49" s="1269"/>
      <c r="F49" s="1269"/>
      <c r="G49" s="1269"/>
      <c r="H49" s="381">
        <v>0</v>
      </c>
      <c r="I49" s="382">
        <v>0</v>
      </c>
      <c r="J49" s="383">
        <v>0</v>
      </c>
      <c r="K49" s="382">
        <v>0</v>
      </c>
      <c r="L49" s="396">
        <f>'1. Планд'!L48</f>
        <v>0</v>
      </c>
    </row>
    <row r="50" spans="2:12" ht="24.95" customHeight="1" thickBot="1" x14ac:dyDescent="0.3">
      <c r="B50" s="1270" t="s">
        <v>436</v>
      </c>
      <c r="C50" s="1271"/>
      <c r="D50" s="1271"/>
      <c r="E50" s="1271"/>
      <c r="F50" s="1271"/>
      <c r="G50" s="1271"/>
      <c r="H50" s="584">
        <v>0</v>
      </c>
      <c r="I50" s="585">
        <v>0</v>
      </c>
      <c r="J50" s="586">
        <v>0</v>
      </c>
      <c r="K50" s="585">
        <v>0</v>
      </c>
      <c r="L50" s="587">
        <f>'1. Планд'!L49</f>
        <v>0</v>
      </c>
    </row>
    <row r="51" spans="2:12" ht="24.95" customHeight="1" x14ac:dyDescent="0.25">
      <c r="B51" s="1272" t="s">
        <v>414</v>
      </c>
      <c r="C51" s="1273"/>
      <c r="D51" s="1273"/>
      <c r="E51" s="1273"/>
      <c r="F51" s="1273"/>
      <c r="G51" s="1274"/>
      <c r="H51" s="579">
        <f>'1. Планд'!H50</f>
        <v>0</v>
      </c>
      <c r="I51" s="580">
        <f>'1. Планд'!I50</f>
        <v>0</v>
      </c>
      <c r="J51" s="581">
        <f>'1. Планд'!J50</f>
        <v>0</v>
      </c>
      <c r="K51" s="580">
        <f>'1. Планд'!K50</f>
        <v>0</v>
      </c>
      <c r="L51" s="582">
        <f>'1. Планд'!L50</f>
        <v>0</v>
      </c>
    </row>
    <row r="52" spans="2:12" ht="24.95" customHeight="1" thickBot="1" x14ac:dyDescent="0.3">
      <c r="B52" s="1067" t="s">
        <v>11</v>
      </c>
      <c r="C52" s="1068"/>
      <c r="D52" s="1068"/>
      <c r="E52" s="1068"/>
      <c r="F52" s="1068"/>
      <c r="G52" s="1069"/>
      <c r="H52" s="397">
        <f>'1. Планд'!H51</f>
        <v>0</v>
      </c>
      <c r="I52" s="398">
        <f>'1. Планд'!I51</f>
        <v>0</v>
      </c>
      <c r="J52" s="399">
        <f>'1. Планд'!J51</f>
        <v>0</v>
      </c>
      <c r="K52" s="398">
        <f>'1. Планд'!K51</f>
        <v>0</v>
      </c>
      <c r="L52" s="400">
        <f>'1. Планд'!L51</f>
        <v>0</v>
      </c>
    </row>
    <row r="53" spans="2:12" ht="24.95" customHeight="1" x14ac:dyDescent="0.25">
      <c r="B53" s="1155" t="s">
        <v>549</v>
      </c>
      <c r="C53" s="1156"/>
      <c r="D53" s="1156"/>
      <c r="E53" s="1156"/>
      <c r="F53" s="1156"/>
      <c r="G53" s="1157"/>
      <c r="H53" s="1160">
        <f>'1. Планд'!H52</f>
        <v>0</v>
      </c>
      <c r="I53" s="1161"/>
      <c r="J53" s="1161"/>
      <c r="K53" s="1162"/>
      <c r="L53" s="377">
        <v>0</v>
      </c>
    </row>
    <row r="54" spans="2:12" ht="24.95" customHeight="1" thickBot="1" x14ac:dyDescent="0.3">
      <c r="B54" s="1067" t="s">
        <v>550</v>
      </c>
      <c r="C54" s="1068"/>
      <c r="D54" s="1068"/>
      <c r="E54" s="1068"/>
      <c r="F54" s="1068"/>
      <c r="G54" s="1069"/>
      <c r="H54" s="1070">
        <f>'1. Планд'!H53</f>
        <v>0</v>
      </c>
      <c r="I54" s="1071"/>
      <c r="J54" s="1071"/>
      <c r="K54" s="1072"/>
      <c r="L54" s="377">
        <v>0</v>
      </c>
    </row>
    <row r="55" spans="2:12" ht="24.95" customHeight="1" x14ac:dyDescent="0.25">
      <c r="B55" s="1237" t="s">
        <v>415</v>
      </c>
      <c r="C55" s="1238"/>
      <c r="D55" s="1238"/>
      <c r="E55" s="1238"/>
      <c r="F55" s="1238"/>
      <c r="G55" s="1239"/>
      <c r="H55" s="1240">
        <f>'1. Планд'!H54</f>
        <v>0</v>
      </c>
      <c r="I55" s="1241"/>
      <c r="J55" s="1241"/>
      <c r="K55" s="1242"/>
      <c r="L55" s="429">
        <f>'1. Планд'!L54</f>
        <v>0</v>
      </c>
    </row>
    <row r="56" spans="2:12" ht="24.95" customHeight="1" thickBot="1" x14ac:dyDescent="0.3">
      <c r="B56" s="1243" t="s">
        <v>413</v>
      </c>
      <c r="C56" s="1244"/>
      <c r="D56" s="1244"/>
      <c r="E56" s="1244"/>
      <c r="F56" s="1244"/>
      <c r="G56" s="1245"/>
      <c r="H56" s="1246">
        <f>'1. Планд'!H55</f>
        <v>0</v>
      </c>
      <c r="I56" s="1247"/>
      <c r="J56" s="1247"/>
      <c r="K56" s="1248"/>
      <c r="L56" s="430">
        <f>'1. Планд'!L55</f>
        <v>0</v>
      </c>
    </row>
    <row r="57" spans="2:12" ht="15.75" thickBot="1" x14ac:dyDescent="0.3">
      <c r="B57" s="4"/>
      <c r="C57" s="4"/>
      <c r="D57" s="4"/>
      <c r="E57" s="4"/>
      <c r="F57" s="4"/>
      <c r="G57" s="4"/>
      <c r="H57" s="5"/>
      <c r="I57" s="5"/>
      <c r="J57" s="5"/>
      <c r="K57" s="5"/>
      <c r="L57" s="5"/>
    </row>
    <row r="58" spans="2:12" ht="24.95" customHeight="1" thickBot="1" x14ac:dyDescent="0.3">
      <c r="B58" s="1249" t="s">
        <v>75</v>
      </c>
      <c r="C58" s="1250"/>
      <c r="D58" s="1250"/>
      <c r="E58" s="1250"/>
      <c r="F58" s="1250"/>
      <c r="G58" s="1250"/>
      <c r="H58" s="1251" t="s">
        <v>67</v>
      </c>
      <c r="I58" s="1252"/>
      <c r="J58" s="1253" t="s">
        <v>68</v>
      </c>
      <c r="K58" s="1253"/>
      <c r="L58" s="375" t="s">
        <v>3</v>
      </c>
    </row>
    <row r="59" spans="2:12" ht="24.95" customHeight="1" x14ac:dyDescent="0.25">
      <c r="B59" s="1254" t="s">
        <v>70</v>
      </c>
      <c r="C59" s="1255"/>
      <c r="D59" s="1255"/>
      <c r="E59" s="1255"/>
      <c r="F59" s="1255"/>
      <c r="G59" s="1255"/>
      <c r="H59" s="416"/>
      <c r="I59" s="417"/>
      <c r="J59" s="418"/>
      <c r="K59" s="418"/>
      <c r="L59" s="419"/>
    </row>
    <row r="60" spans="2:12" ht="24.95" customHeight="1" x14ac:dyDescent="0.25">
      <c r="B60" s="1222" t="s">
        <v>71</v>
      </c>
      <c r="C60" s="1223"/>
      <c r="D60" s="1223"/>
      <c r="E60" s="1223"/>
      <c r="F60" s="1223"/>
      <c r="G60" s="1223"/>
      <c r="H60" s="420"/>
      <c r="I60" s="421"/>
      <c r="J60" s="422"/>
      <c r="K60" s="422"/>
      <c r="L60" s="423"/>
    </row>
    <row r="61" spans="2:12" ht="24.95" customHeight="1" thickBot="1" x14ac:dyDescent="0.3">
      <c r="B61" s="1147" t="s">
        <v>72</v>
      </c>
      <c r="C61" s="1148"/>
      <c r="D61" s="1148"/>
      <c r="E61" s="1148"/>
      <c r="F61" s="1148"/>
      <c r="G61" s="1256"/>
      <c r="H61" s="424"/>
      <c r="I61" s="425"/>
      <c r="J61" s="426"/>
      <c r="K61" s="426"/>
      <c r="L61" s="427"/>
    </row>
    <row r="62" spans="2:12" ht="15.75" thickBot="1" x14ac:dyDescent="0.3">
      <c r="B62" s="23"/>
      <c r="C62" s="23"/>
      <c r="D62" s="23"/>
      <c r="E62" s="23"/>
      <c r="F62" s="23"/>
      <c r="G62" s="23"/>
      <c r="H62" s="22"/>
      <c r="I62" s="22"/>
      <c r="J62" s="5"/>
      <c r="K62" s="5"/>
      <c r="L62" s="5"/>
    </row>
    <row r="63" spans="2:12" ht="20.100000000000001" customHeight="1" thickBot="1" x14ac:dyDescent="0.3">
      <c r="B63" s="1257" t="s">
        <v>109</v>
      </c>
      <c r="C63" s="1258"/>
      <c r="D63" s="1258"/>
      <c r="E63" s="1258"/>
      <c r="F63" s="1258"/>
      <c r="G63" s="1258"/>
      <c r="H63" s="1258"/>
      <c r="I63" s="1258"/>
      <c r="J63" s="1258"/>
      <c r="K63" s="1258"/>
      <c r="L63" s="1259"/>
    </row>
    <row r="64" spans="2:12" ht="20.100000000000001" customHeight="1" x14ac:dyDescent="0.25">
      <c r="B64" s="1260" t="s">
        <v>110</v>
      </c>
      <c r="C64" s="1261"/>
      <c r="D64" s="1262"/>
      <c r="E64" s="1263"/>
      <c r="F64" s="1263"/>
      <c r="G64" s="1263"/>
      <c r="H64" s="1263"/>
      <c r="I64" s="1263"/>
      <c r="J64" s="1263"/>
      <c r="K64" s="1263"/>
      <c r="L64" s="1264"/>
    </row>
    <row r="65" spans="1:17" ht="46.5" customHeight="1" thickBot="1" x14ac:dyDescent="0.3">
      <c r="B65" s="1265" t="s">
        <v>543</v>
      </c>
      <c r="C65" s="1266"/>
      <c r="D65" s="1267" t="s">
        <v>73</v>
      </c>
      <c r="E65" s="1118"/>
      <c r="F65" s="1118"/>
      <c r="G65" s="1119"/>
      <c r="H65" s="1117" t="s">
        <v>74</v>
      </c>
      <c r="I65" s="1118"/>
      <c r="J65" s="1118"/>
      <c r="K65" s="1118"/>
      <c r="L65" s="1120"/>
    </row>
    <row r="66" spans="1:17" x14ac:dyDescent="0.25">
      <c r="B66" s="4"/>
      <c r="C66" s="4"/>
      <c r="D66" s="4"/>
      <c r="E66" s="4"/>
      <c r="F66" s="4"/>
      <c r="G66" s="4"/>
      <c r="H66" s="5"/>
      <c r="I66" s="5"/>
      <c r="J66" s="5"/>
      <c r="K66" s="5"/>
      <c r="L66" s="5"/>
    </row>
    <row r="67" spans="1:17" ht="18.75" x14ac:dyDescent="0.25">
      <c r="A67" s="198"/>
      <c r="B67" s="1121" t="s">
        <v>12</v>
      </c>
      <c r="C67" s="1122"/>
      <c r="D67" s="1122"/>
      <c r="E67" s="1122"/>
      <c r="F67" s="1122"/>
      <c r="G67" s="1122"/>
      <c r="H67" s="1122"/>
      <c r="I67" s="1122"/>
      <c r="J67" s="1122"/>
      <c r="K67" s="1122"/>
      <c r="L67" s="1123"/>
    </row>
    <row r="68" spans="1:17" ht="18.75" x14ac:dyDescent="0.3">
      <c r="A68" s="185"/>
      <c r="B68" s="1127" t="s">
        <v>193</v>
      </c>
      <c r="C68" s="1128"/>
      <c r="D68" s="1128"/>
      <c r="E68" s="1128"/>
      <c r="F68" s="1128"/>
      <c r="G68" s="1128"/>
      <c r="H68" s="1128"/>
      <c r="I68" s="1128"/>
      <c r="J68" s="1128"/>
      <c r="K68" s="1128"/>
      <c r="L68" s="1129"/>
    </row>
    <row r="69" spans="1:17" ht="18.75" x14ac:dyDescent="0.3">
      <c r="A69" s="185"/>
      <c r="B69" s="1124" t="s">
        <v>13</v>
      </c>
      <c r="C69" s="1125"/>
      <c r="D69" s="1125"/>
      <c r="E69" s="1125"/>
      <c r="F69" s="1125"/>
      <c r="G69" s="1125"/>
      <c r="H69" s="1125"/>
      <c r="I69" s="1125"/>
      <c r="J69" s="1125"/>
      <c r="K69" s="1125"/>
      <c r="L69" s="1126"/>
    </row>
    <row r="70" spans="1:17" s="71" customFormat="1" ht="15.75" x14ac:dyDescent="0.25"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/>
      <c r="N70"/>
      <c r="O70"/>
      <c r="P70"/>
      <c r="Q70"/>
    </row>
    <row r="71" spans="1:17" s="71" customFormat="1" ht="30.75" customHeight="1" x14ac:dyDescent="0.25">
      <c r="B71" s="1207" t="s">
        <v>586</v>
      </c>
      <c r="C71" s="1208"/>
      <c r="D71" s="1208"/>
      <c r="E71" s="1208"/>
      <c r="F71" s="1208"/>
      <c r="G71" s="1208"/>
      <c r="H71" s="1208"/>
      <c r="I71" s="1208"/>
      <c r="J71" s="1208"/>
      <c r="K71" s="1208"/>
      <c r="L71" s="1209"/>
      <c r="M71"/>
      <c r="N71"/>
      <c r="O71"/>
      <c r="P71"/>
      <c r="Q71"/>
    </row>
    <row r="72" spans="1:17" s="71" customFormat="1" ht="15.75" x14ac:dyDescent="0.25">
      <c r="B72" s="1210" t="s">
        <v>154</v>
      </c>
      <c r="C72" s="1211"/>
      <c r="D72" s="1211"/>
      <c r="E72" s="1211"/>
      <c r="F72" s="1211"/>
      <c r="G72" s="1211"/>
      <c r="H72" s="1211"/>
      <c r="I72" s="1211"/>
      <c r="J72" s="1211"/>
      <c r="K72" s="1211"/>
      <c r="L72" s="1212"/>
      <c r="M72"/>
      <c r="N72"/>
      <c r="O72"/>
      <c r="P72"/>
      <c r="Q72"/>
    </row>
    <row r="73" spans="1:17" ht="21.75" customHeight="1" x14ac:dyDescent="0.25">
      <c r="B73" s="1232" t="s">
        <v>4</v>
      </c>
      <c r="C73" s="1233"/>
      <c r="D73" s="1233"/>
      <c r="E73" s="1233"/>
      <c r="F73" s="1233"/>
      <c r="G73" s="1233"/>
      <c r="H73" s="1233"/>
      <c r="I73" s="1233"/>
      <c r="J73" s="1233"/>
      <c r="K73" s="1233"/>
      <c r="L73" s="1234"/>
    </row>
    <row r="74" spans="1:17" ht="15.75" x14ac:dyDescent="0.25">
      <c r="B74" s="1107" t="s">
        <v>438</v>
      </c>
      <c r="C74" s="1108"/>
      <c r="D74" s="1108"/>
      <c r="E74" s="1108"/>
      <c r="F74" s="1108"/>
      <c r="G74" s="1108"/>
      <c r="H74" s="1108"/>
      <c r="I74" s="1108"/>
      <c r="J74" s="1108"/>
      <c r="K74" s="1108"/>
      <c r="L74" s="1109"/>
    </row>
    <row r="75" spans="1:17" ht="15.75" customHeight="1" x14ac:dyDescent="0.25">
      <c r="B75" s="1086" t="s">
        <v>502</v>
      </c>
      <c r="C75" s="1087"/>
      <c r="D75" s="1087"/>
      <c r="E75" s="1087"/>
      <c r="F75" s="1087"/>
      <c r="G75" s="1087"/>
      <c r="H75" s="1087"/>
      <c r="I75" s="1087"/>
      <c r="J75" s="1087"/>
      <c r="K75" s="1087"/>
      <c r="L75" s="1088"/>
    </row>
    <row r="76" spans="1:17" ht="129" customHeight="1" x14ac:dyDescent="0.25">
      <c r="B76" s="1083" t="s">
        <v>503</v>
      </c>
      <c r="C76" s="1084"/>
      <c r="D76" s="1084"/>
      <c r="E76" s="1084"/>
      <c r="F76" s="1084"/>
      <c r="G76" s="1084"/>
      <c r="H76" s="1084"/>
      <c r="I76" s="1084"/>
      <c r="J76" s="1084"/>
      <c r="K76" s="1084"/>
      <c r="L76" s="1085"/>
    </row>
    <row r="77" spans="1:17" ht="50.25" customHeight="1" x14ac:dyDescent="0.25">
      <c r="B77" s="1083" t="s">
        <v>542</v>
      </c>
      <c r="C77" s="1084"/>
      <c r="D77" s="1084"/>
      <c r="E77" s="1140"/>
      <c r="F77" s="1140"/>
      <c r="G77" s="1140"/>
      <c r="H77" s="1140"/>
      <c r="I77" s="1140"/>
      <c r="J77" s="1140"/>
      <c r="K77" s="1140"/>
      <c r="L77" s="1141"/>
    </row>
    <row r="78" spans="1:17" s="40" customFormat="1" ht="15" customHeight="1" x14ac:dyDescent="0.25">
      <c r="B78" s="228"/>
      <c r="C78" s="229"/>
      <c r="D78" s="505"/>
      <c r="E78" s="1142" t="s">
        <v>400</v>
      </c>
      <c r="F78" s="1144"/>
      <c r="G78" s="226">
        <v>6</v>
      </c>
      <c r="H78" s="226">
        <v>5</v>
      </c>
      <c r="I78" s="226">
        <v>4</v>
      </c>
      <c r="J78" s="226">
        <v>3</v>
      </c>
      <c r="K78" s="226">
        <v>2</v>
      </c>
      <c r="L78" s="226">
        <v>1</v>
      </c>
      <c r="M78"/>
      <c r="N78"/>
      <c r="O78"/>
      <c r="P78"/>
      <c r="Q78"/>
    </row>
    <row r="79" spans="1:17" s="40" customFormat="1" ht="15" customHeight="1" x14ac:dyDescent="0.25">
      <c r="B79" s="228"/>
      <c r="C79" s="229"/>
      <c r="D79" s="505"/>
      <c r="E79" s="1130" t="s">
        <v>15</v>
      </c>
      <c r="F79" s="1132"/>
      <c r="G79" s="227">
        <v>1</v>
      </c>
      <c r="H79" s="227">
        <v>0.8</v>
      </c>
      <c r="I79" s="227">
        <v>0.6</v>
      </c>
      <c r="J79" s="227">
        <v>0.5</v>
      </c>
      <c r="K79" s="227">
        <v>0.3</v>
      </c>
      <c r="L79" s="227">
        <v>0.2</v>
      </c>
      <c r="M79"/>
      <c r="N79"/>
      <c r="O79"/>
      <c r="P79"/>
      <c r="Q79"/>
    </row>
    <row r="80" spans="1:17" s="40" customFormat="1" ht="21.75" customHeight="1" x14ac:dyDescent="0.25">
      <c r="B80" s="1083" t="s">
        <v>155</v>
      </c>
      <c r="C80" s="1084"/>
      <c r="D80" s="1084"/>
      <c r="E80" s="1214"/>
      <c r="F80" s="1214"/>
      <c r="G80" s="1214"/>
      <c r="H80" s="1214"/>
      <c r="I80" s="1214"/>
      <c r="J80" s="1214"/>
      <c r="K80" s="1214"/>
      <c r="L80" s="1215"/>
      <c r="M80"/>
      <c r="N80"/>
      <c r="O80"/>
      <c r="P80"/>
      <c r="Q80"/>
    </row>
    <row r="81" spans="2:17" ht="63.75" customHeight="1" x14ac:dyDescent="0.25">
      <c r="B81" s="1136" t="s">
        <v>505</v>
      </c>
      <c r="C81" s="1137"/>
      <c r="D81" s="1137"/>
      <c r="E81" s="1137"/>
      <c r="F81" s="1137"/>
      <c r="G81" s="1137"/>
      <c r="H81" s="1137"/>
      <c r="I81" s="1137"/>
      <c r="J81" s="1137"/>
      <c r="K81" s="1137"/>
      <c r="L81" s="1138"/>
    </row>
    <row r="82" spans="2:17" s="40" customFormat="1" ht="15" customHeight="1" x14ac:dyDescent="0.25">
      <c r="B82" s="228"/>
      <c r="C82" s="229"/>
      <c r="D82" s="229"/>
      <c r="E82" s="1142" t="s">
        <v>400</v>
      </c>
      <c r="F82" s="1144"/>
      <c r="G82" s="226">
        <v>6</v>
      </c>
      <c r="H82" s="226">
        <v>5</v>
      </c>
      <c r="I82" s="226">
        <v>4</v>
      </c>
      <c r="J82" s="226">
        <v>3</v>
      </c>
      <c r="K82" s="226">
        <v>2</v>
      </c>
      <c r="L82" s="226">
        <v>1</v>
      </c>
      <c r="M82"/>
      <c r="N82"/>
      <c r="O82"/>
      <c r="P82"/>
      <c r="Q82"/>
    </row>
    <row r="83" spans="2:17" s="40" customFormat="1" ht="15" customHeight="1" x14ac:dyDescent="0.25">
      <c r="B83" s="228"/>
      <c r="C83" s="229"/>
      <c r="D83" s="229"/>
      <c r="E83" s="1130" t="s">
        <v>15</v>
      </c>
      <c r="F83" s="1132"/>
      <c r="G83" s="227">
        <v>1</v>
      </c>
      <c r="H83" s="227">
        <v>0.8</v>
      </c>
      <c r="I83" s="227">
        <v>0.6</v>
      </c>
      <c r="J83" s="227">
        <v>0.5</v>
      </c>
      <c r="K83" s="227">
        <v>0.3</v>
      </c>
      <c r="L83" s="227">
        <v>0.2</v>
      </c>
      <c r="M83"/>
      <c r="N83"/>
      <c r="O83"/>
      <c r="P83"/>
      <c r="Q83"/>
    </row>
    <row r="84" spans="2:17" ht="15.75" x14ac:dyDescent="0.25">
      <c r="B84" s="1107" t="s">
        <v>439</v>
      </c>
      <c r="C84" s="1108"/>
      <c r="D84" s="1108"/>
      <c r="E84" s="1108"/>
      <c r="F84" s="1108"/>
      <c r="G84" s="1108"/>
      <c r="H84" s="1108"/>
      <c r="I84" s="1108"/>
      <c r="J84" s="1108"/>
      <c r="K84" s="1108"/>
      <c r="L84" s="1109"/>
    </row>
    <row r="85" spans="2:17" ht="33.75" customHeight="1" x14ac:dyDescent="0.25">
      <c r="B85" s="1086" t="s">
        <v>541</v>
      </c>
      <c r="C85" s="1087"/>
      <c r="D85" s="1087"/>
      <c r="E85" s="1087"/>
      <c r="F85" s="1087"/>
      <c r="G85" s="1087"/>
      <c r="H85" s="1087"/>
      <c r="I85" s="1087"/>
      <c r="J85" s="1087"/>
      <c r="K85" s="1087"/>
      <c r="L85" s="1088"/>
    </row>
    <row r="86" spans="2:17" ht="15.75" customHeight="1" x14ac:dyDescent="0.25">
      <c r="B86" s="228"/>
      <c r="C86" s="229"/>
      <c r="D86" s="229"/>
      <c r="E86" s="1235" t="s">
        <v>540</v>
      </c>
      <c r="F86" s="1235"/>
      <c r="G86" s="226" t="s">
        <v>108</v>
      </c>
      <c r="H86" s="226">
        <v>2</v>
      </c>
      <c r="I86" s="226">
        <v>1</v>
      </c>
      <c r="J86" s="232"/>
      <c r="K86" s="232"/>
      <c r="L86" s="233"/>
    </row>
    <row r="87" spans="2:17" ht="15.75" customHeight="1" x14ac:dyDescent="0.25">
      <c r="B87" s="228"/>
      <c r="C87" s="229"/>
      <c r="D87" s="229"/>
      <c r="E87" s="1236" t="s">
        <v>15</v>
      </c>
      <c r="F87" s="1236"/>
      <c r="G87" s="227">
        <v>1</v>
      </c>
      <c r="H87" s="227">
        <v>0.8</v>
      </c>
      <c r="I87" s="227">
        <v>0.6</v>
      </c>
      <c r="J87" s="232"/>
      <c r="K87" s="232"/>
      <c r="L87" s="233"/>
    </row>
    <row r="88" spans="2:17" ht="15.75" x14ac:dyDescent="0.25">
      <c r="B88" s="1133" t="s">
        <v>507</v>
      </c>
      <c r="C88" s="1134"/>
      <c r="D88" s="1134"/>
      <c r="E88" s="1134"/>
      <c r="F88" s="1134"/>
      <c r="G88" s="1134"/>
      <c r="H88" s="1134"/>
      <c r="I88" s="1134"/>
      <c r="J88" s="1134"/>
      <c r="K88" s="1134"/>
      <c r="L88" s="1135"/>
    </row>
    <row r="89" spans="2:17" ht="36.75" customHeight="1" x14ac:dyDescent="0.25">
      <c r="B89" s="1204" t="s">
        <v>153</v>
      </c>
      <c r="C89" s="1205"/>
      <c r="D89" s="1205"/>
      <c r="E89" s="1205"/>
      <c r="F89" s="1205"/>
      <c r="G89" s="1205"/>
      <c r="H89" s="1205"/>
      <c r="I89" s="1205"/>
      <c r="J89" s="1205"/>
      <c r="K89" s="1205"/>
      <c r="L89" s="1206"/>
    </row>
  </sheetData>
  <sheetProtection algorithmName="SHA-512" hashValue="ktFUOWUJXL+BDyJwt/NkO0nqZZKVYOuVwOBFHfgXG/skSpph0zgNKy3tPW3iBZ9KkyYFAKkrpirFoTGOtduLQw==" saltValue="47FAqw+wNabUZ88ueqJhFA==" spinCount="100000" sheet="1" objects="1" scenarios="1" formatCells="0" formatRows="0"/>
  <mergeCells count="101">
    <mergeCell ref="B14:E14"/>
    <mergeCell ref="F14:L14"/>
    <mergeCell ref="B15:E15"/>
    <mergeCell ref="F15:L15"/>
    <mergeCell ref="B13:J13"/>
    <mergeCell ref="B1:L1"/>
    <mergeCell ref="B2:L2"/>
    <mergeCell ref="E4:F4"/>
    <mergeCell ref="B5:L5"/>
    <mergeCell ref="B7:L7"/>
    <mergeCell ref="B8:L8"/>
    <mergeCell ref="B9:L9"/>
    <mergeCell ref="B10:L10"/>
    <mergeCell ref="B12:L12"/>
    <mergeCell ref="E3:F3"/>
    <mergeCell ref="H3:I3"/>
    <mergeCell ref="H4:I4"/>
    <mergeCell ref="L3:L4"/>
    <mergeCell ref="B3:C4"/>
    <mergeCell ref="D3:D4"/>
    <mergeCell ref="L24:L25"/>
    <mergeCell ref="B17:D17"/>
    <mergeCell ref="E17:L17"/>
    <mergeCell ref="B19:D19"/>
    <mergeCell ref="E19:L19"/>
    <mergeCell ref="B20:D20"/>
    <mergeCell ref="E20:L20"/>
    <mergeCell ref="F22:H22"/>
    <mergeCell ref="B24:C25"/>
    <mergeCell ref="D24:G25"/>
    <mergeCell ref="H24:I24"/>
    <mergeCell ref="J24:K24"/>
    <mergeCell ref="B26:L26"/>
    <mergeCell ref="B27:G27"/>
    <mergeCell ref="B28:G28"/>
    <mergeCell ref="B29:G29"/>
    <mergeCell ref="B30:G30"/>
    <mergeCell ref="B42:G42"/>
    <mergeCell ref="B31:L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52:G5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H55:K55"/>
    <mergeCell ref="B56:G56"/>
    <mergeCell ref="H56:K56"/>
    <mergeCell ref="B58:G58"/>
    <mergeCell ref="H58:I58"/>
    <mergeCell ref="J58:K58"/>
    <mergeCell ref="B69:L69"/>
    <mergeCell ref="B59:G59"/>
    <mergeCell ref="B60:G60"/>
    <mergeCell ref="B61:G61"/>
    <mergeCell ref="B63:L63"/>
    <mergeCell ref="B64:C64"/>
    <mergeCell ref="D64:L64"/>
    <mergeCell ref="B65:C65"/>
    <mergeCell ref="D65:G65"/>
    <mergeCell ref="H65:L65"/>
    <mergeCell ref="B67:L67"/>
    <mergeCell ref="B68:L68"/>
    <mergeCell ref="E82:F82"/>
    <mergeCell ref="B71:L71"/>
    <mergeCell ref="B72:L72"/>
    <mergeCell ref="B73:L73"/>
    <mergeCell ref="B74:L74"/>
    <mergeCell ref="B75:L75"/>
    <mergeCell ref="B76:L76"/>
    <mergeCell ref="B89:L89"/>
    <mergeCell ref="B53:G53"/>
    <mergeCell ref="B54:G54"/>
    <mergeCell ref="H53:K53"/>
    <mergeCell ref="H54:K54"/>
    <mergeCell ref="E83:F83"/>
    <mergeCell ref="B84:L84"/>
    <mergeCell ref="B85:L85"/>
    <mergeCell ref="E86:F86"/>
    <mergeCell ref="E87:F87"/>
    <mergeCell ref="B88:L88"/>
    <mergeCell ref="B77:L77"/>
    <mergeCell ref="E78:F78"/>
    <mergeCell ref="E79:F79"/>
    <mergeCell ref="B80:L80"/>
    <mergeCell ref="B81:L81"/>
    <mergeCell ref="B55:G55"/>
  </mergeCells>
  <conditionalFormatting sqref="J22">
    <cfRule type="expression" dxfId="808" priority="15">
      <formula>AND(NOT(nGetLogData1),nGetLenData1&gt;0)</formula>
    </cfRule>
  </conditionalFormatting>
  <conditionalFormatting sqref="L22">
    <cfRule type="expression" dxfId="807" priority="14">
      <formula>AND(NOT(nGetLogData2),nGetLenData2&gt;0)</formula>
    </cfRule>
  </conditionalFormatting>
  <conditionalFormatting sqref="C22:L22">
    <cfRule type="expression" dxfId="806" priority="7">
      <formula>NOT(Лекторат)</formula>
    </cfRule>
  </conditionalFormatting>
  <conditionalFormatting sqref="B14:E14">
    <cfRule type="expression" dxfId="805" priority="5">
      <formula>LEN($B$14)=0</formula>
    </cfRule>
  </conditionalFormatting>
  <conditionalFormatting sqref="F14:L14">
    <cfRule type="expression" dxfId="804" priority="4">
      <formula>LEN($F$14)=0</formula>
    </cfRule>
  </conditionalFormatting>
  <conditionalFormatting sqref="E19:L19">
    <cfRule type="expression" dxfId="803" priority="3">
      <formula>LEN($E$19)=0</formula>
    </cfRule>
  </conditionalFormatting>
  <conditionalFormatting sqref="B7:L7">
    <cfRule type="expression" dxfId="802" priority="2">
      <formula>LEN($B$7)=0</formula>
    </cfRule>
  </conditionalFormatting>
  <conditionalFormatting sqref="B9:L9">
    <cfRule type="expression" dxfId="801" priority="1">
      <formula>LEN($B$9)=0</formula>
    </cfRule>
  </conditionalFormatting>
  <dataValidations count="2">
    <dataValidation allowBlank="1" showInputMessage="1" showErrorMessage="1" promptTitle="Формат за въвеждане на дата" prompt="дд.мм.гггг_x000a_Пример: 01.09.2019_x000a_" sqref="L22" xr:uid="{00000000-0002-0000-0800-000000000000}"/>
    <dataValidation allowBlank="1" showInputMessage="1" showErrorMessage="1" promptTitle="Формат за въвеждане на дата" prompt="дд.мм.гггг_x000a_Пример: 01.09.2019" sqref="J22" xr:uid="{00000000-0002-0000-0800-000001000000}"/>
  </dataValidations>
  <hyperlinks>
    <hyperlink ref="E3" location="'1. Отчет'!BMHomeTotal" tooltip="Общо" display="Общо" xr:uid="{00000000-0004-0000-0800-000000000000}"/>
    <hyperlink ref="D3" location="'1. План'!B6" tooltip="Начало" display="Начало" xr:uid="{00000000-0004-0000-0800-000001000000}"/>
    <hyperlink ref="H3" location="'2. ОКС &quot;бакалавър&quot;'!N29" tooltip="ОКС &quot;бакалавър&quot;" display="ОКС &quot;бакалавър&quot;" xr:uid="{00000000-0004-0000-0800-000003000000}"/>
    <hyperlink ref="H4" location="'3. ОКС &quot;магистър&quot;'!N29" tooltip="ОКС &quot;магистър&quot;" display="'3. ОКС &quot;магистър&quot;'!N29" xr:uid="{00000000-0004-0000-0800-000004000000}"/>
    <hyperlink ref="J3" location="'4. ОНС &quot;доктор&quot;'!B21" tooltip="ОНС &quot;доктор&quot;" display="ОНС &quot;доктор&quot;" xr:uid="{00000000-0004-0000-0800-000005000000}"/>
    <hyperlink ref="L3" r:id="rId1" tooltip="email: ipio@uni-sofia.bg" xr:uid="{00000000-0004-0000-0800-000006000000}"/>
    <hyperlink ref="J4" location="'5. Подготовка на курс'!B23" tooltip="Подготовка курс" display="Подготовка курс" xr:uid="{00000000-0004-0000-0800-000007000000}"/>
    <hyperlink ref="H3:I3" location="'2. ОКС &quot;бакалавър&quot;'!N24" tooltip="ОКС &quot;бакалавър&quot;" display="ОКС &quot;бакалавър&quot;" xr:uid="{A5F4BEBF-9A39-4F63-AD20-BF47D78540D0}"/>
    <hyperlink ref="H4:I4" location="'3. ОКС &quot;магистър&quot;'!N24" tooltip="ОКС &quot;магистър&quot;" display="ОКС &quot;магистър&quot;" xr:uid="{F9F0B5C3-7DD1-455B-88D1-1D0444C585D0}"/>
  </hyperlinks>
  <printOptions horizontalCentered="1"/>
  <pageMargins left="0.23622047244094491" right="0.23622047244094491" top="0.31496062992125984" bottom="0.59055118110236227" header="0.31496062992125984" footer="0.31496062992125984"/>
  <pageSetup paperSize="9" scale="55" orientation="portrait" r:id="rId2"/>
  <headerFooter>
    <oddFooter xml:space="preserve">&amp;L&amp;"-,Bold"Преподавател: &amp;"-,Regular"............................
&amp;D&amp;C&amp;"-,Bold"Ръководител катедра: &amp;"-,Regular"............................
&amp;R&amp;"-,Bold"Декан: &amp;"-,Regular"............................
</oddFooter>
  </headerFooter>
  <ignoredErrors>
    <ignoredError sqref="H33:K39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5" name="Check Box 1">
              <controlPr locked="0" defaultSize="0" autoFill="0" autoLine="0" autoPict="0">
                <anchor moveWithCells="1">
                  <from>
                    <xdr:col>0</xdr:col>
                    <xdr:colOff>133350</xdr:colOff>
                    <xdr:row>21</xdr:row>
                    <xdr:rowOff>9525</xdr:rowOff>
                  </from>
                  <to>
                    <xdr:col>1</xdr:col>
                    <xdr:colOff>161925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800-000003000000}">
          <x14:formula1>
            <xm:f>list!$A$2:$A$21</xm:f>
          </x14:formula1>
          <xm:sqref>B7:L7</xm:sqref>
        </x14:dataValidation>
        <x14:dataValidation type="list" allowBlank="1" showInputMessage="1" showErrorMessage="1" xr:uid="{00000000-0002-0000-0800-000004000000}">
          <x14:formula1>
            <xm:f>list!$A$82:$A$87</xm:f>
          </x14:formula1>
          <xm:sqref>E19:L19</xm:sqref>
        </x14:dataValidation>
        <x14:dataValidation type="list" allowBlank="1" showInputMessage="1" showErrorMessage="1" xr:uid="{A6864FBE-9CBD-4B4B-B22F-BDBE2DFF536E}">
          <x14:formula1>
            <xm:f>ПЕРИОД!$F$48:$F$57</xm:f>
          </x14:formula1>
          <xm:sqref>B14:E14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pageSetUpPr fitToPage="1"/>
  </sheetPr>
  <dimension ref="A1:S101"/>
  <sheetViews>
    <sheetView showGridLines="0" showRowColHeaders="0" tabSelected="1" zoomScale="90" zoomScaleNormal="90" zoomScaleSheetLayoutView="90" workbookViewId="0">
      <pane ySplit="4" topLeftCell="A5" activePane="bottomLeft" state="frozen"/>
      <selection activeCell="B7" sqref="B2:L12"/>
      <selection pane="bottomLeft" activeCell="B7" sqref="B7:L7"/>
    </sheetView>
  </sheetViews>
  <sheetFormatPr defaultRowHeight="15" x14ac:dyDescent="0.25"/>
  <cols>
    <col min="1" max="1" width="2.28515625" style="38" customWidth="1"/>
    <col min="2" max="3" width="11.5703125" style="1" customWidth="1"/>
    <col min="4" max="4" width="22.7109375" style="1" customWidth="1"/>
    <col min="5" max="5" width="11.7109375" style="1" customWidth="1"/>
    <col min="6" max="6" width="14.140625" style="1" customWidth="1"/>
    <col min="7" max="7" width="15" style="1" customWidth="1"/>
    <col min="8" max="8" width="36.85546875" style="1" customWidth="1"/>
    <col min="9" max="9" width="3" style="1" bestFit="1" customWidth="1"/>
    <col min="10" max="10" width="18.7109375" style="1" customWidth="1"/>
    <col min="11" max="11" width="3.28515625" style="1" bestFit="1" customWidth="1"/>
    <col min="12" max="12" width="17.5703125" style="1" customWidth="1"/>
    <col min="13" max="13" width="10.85546875" style="38" customWidth="1"/>
    <col min="14" max="14" width="11.140625" style="38" hidden="1" customWidth="1"/>
    <col min="15" max="15" width="10.140625" style="38" hidden="1" customWidth="1"/>
    <col min="16" max="19" width="9.140625" style="38" hidden="1" customWidth="1"/>
    <col min="20" max="16384" width="9.140625" style="38"/>
  </cols>
  <sheetData>
    <row r="1" spans="2:18" ht="15.75" x14ac:dyDescent="0.25">
      <c r="B1" s="1164" t="s">
        <v>300</v>
      </c>
      <c r="C1" s="1164"/>
      <c r="D1" s="1164"/>
      <c r="E1" s="1164"/>
      <c r="F1" s="1164"/>
      <c r="G1" s="1164"/>
      <c r="H1" s="1164"/>
      <c r="I1" s="1164"/>
      <c r="J1" s="1164"/>
      <c r="K1" s="1164"/>
      <c r="L1" s="1164"/>
    </row>
    <row r="2" spans="2:18" ht="51" customHeight="1" thickBot="1" x14ac:dyDescent="0.3">
      <c r="B2" s="1167" t="s">
        <v>165</v>
      </c>
      <c r="C2" s="1164"/>
      <c r="D2" s="1164"/>
      <c r="E2" s="1164"/>
      <c r="F2" s="1164"/>
      <c r="G2" s="1164"/>
      <c r="H2" s="1164"/>
      <c r="I2" s="1164"/>
      <c r="J2" s="1164"/>
      <c r="K2" s="1164"/>
      <c r="L2" s="1164"/>
    </row>
    <row r="3" spans="2:18" s="39" customFormat="1" ht="20.100000000000001" customHeight="1" x14ac:dyDescent="0.3">
      <c r="B3" s="1319" t="s">
        <v>1</v>
      </c>
      <c r="C3" s="1320"/>
      <c r="D3" s="1323" t="s">
        <v>2</v>
      </c>
      <c r="E3" s="1318" t="s">
        <v>3</v>
      </c>
      <c r="F3" s="1318"/>
      <c r="G3" s="897"/>
      <c r="H3" s="898" t="s">
        <v>67</v>
      </c>
      <c r="I3" s="1327" t="s">
        <v>69</v>
      </c>
      <c r="J3" s="1327"/>
      <c r="K3" s="899"/>
      <c r="L3" s="1325" t="s">
        <v>119</v>
      </c>
    </row>
    <row r="4" spans="2:18" s="39" customFormat="1" ht="20.100000000000001" customHeight="1" thickBot="1" x14ac:dyDescent="0.35">
      <c r="B4" s="1321"/>
      <c r="C4" s="1322"/>
      <c r="D4" s="1324"/>
      <c r="E4" s="1308" t="s">
        <v>4</v>
      </c>
      <c r="F4" s="1308"/>
      <c r="G4" s="900"/>
      <c r="H4" s="901" t="s">
        <v>68</v>
      </c>
      <c r="I4" s="1328" t="s">
        <v>137</v>
      </c>
      <c r="J4" s="1328"/>
      <c r="K4" s="902"/>
      <c r="L4" s="1326"/>
    </row>
    <row r="5" spans="2:18" ht="27.75" customHeight="1" x14ac:dyDescent="0.25">
      <c r="B5" s="1309" t="s">
        <v>301</v>
      </c>
      <c r="C5" s="1309"/>
      <c r="D5" s="1309"/>
      <c r="E5" s="1309"/>
      <c r="F5" s="1309"/>
      <c r="G5" s="1309"/>
      <c r="H5" s="1309"/>
      <c r="I5" s="1309"/>
      <c r="J5" s="1309"/>
      <c r="K5" s="1309"/>
      <c r="L5" s="1309"/>
    </row>
    <row r="7" spans="2:18" ht="24.95" customHeight="1" x14ac:dyDescent="0.25">
      <c r="B7" s="1295"/>
      <c r="C7" s="1295"/>
      <c r="D7" s="1295"/>
      <c r="E7" s="1295"/>
      <c r="F7" s="1295"/>
      <c r="G7" s="1295"/>
      <c r="H7" s="1295"/>
      <c r="I7" s="1295"/>
      <c r="J7" s="1295"/>
      <c r="K7" s="1295"/>
      <c r="L7" s="1295"/>
    </row>
    <row r="8" spans="2:18" ht="23.25" customHeight="1" x14ac:dyDescent="0.25">
      <c r="B8" s="1172" t="s">
        <v>5</v>
      </c>
      <c r="C8" s="1172"/>
      <c r="D8" s="1172"/>
      <c r="E8" s="1172"/>
      <c r="F8" s="1172"/>
      <c r="G8" s="1172"/>
      <c r="H8" s="1172"/>
      <c r="I8" s="1172"/>
      <c r="J8" s="1172"/>
      <c r="K8" s="1172"/>
      <c r="L8" s="1172"/>
    </row>
    <row r="9" spans="2:18" ht="24.95" customHeight="1" x14ac:dyDescent="0.25">
      <c r="B9" s="1317"/>
      <c r="C9" s="1317"/>
      <c r="D9" s="1317"/>
      <c r="E9" s="1317"/>
      <c r="F9" s="1317"/>
      <c r="G9" s="1317"/>
      <c r="H9" s="1317"/>
      <c r="I9" s="1317"/>
      <c r="J9" s="1317"/>
      <c r="K9" s="1317"/>
      <c r="L9" s="1317"/>
    </row>
    <row r="10" spans="2:18" x14ac:dyDescent="0.25">
      <c r="B10" s="1165" t="s">
        <v>6</v>
      </c>
      <c r="C10" s="1165"/>
      <c r="D10" s="1165"/>
      <c r="E10" s="1165"/>
      <c r="F10" s="1165"/>
      <c r="G10" s="1165"/>
      <c r="H10" s="1165"/>
      <c r="I10" s="1165"/>
      <c r="J10" s="1165"/>
      <c r="K10" s="1165"/>
      <c r="L10" s="1165"/>
    </row>
    <row r="11" spans="2:18" ht="15.7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8" ht="27.75" x14ac:dyDescent="0.4">
      <c r="B12" s="1175" t="s">
        <v>302</v>
      </c>
      <c r="C12" s="1175"/>
      <c r="D12" s="1175"/>
      <c r="E12" s="1175"/>
      <c r="F12" s="1175"/>
      <c r="G12" s="1175"/>
      <c r="H12" s="1175"/>
      <c r="I12" s="1175"/>
      <c r="J12" s="1175"/>
      <c r="K12" s="1175"/>
      <c r="L12" s="1175"/>
    </row>
    <row r="13" spans="2:18" x14ac:dyDescent="0.25">
      <c r="B13" s="1176"/>
      <c r="C13" s="1176"/>
      <c r="D13" s="1176"/>
      <c r="E13" s="1176"/>
      <c r="F13" s="1176"/>
      <c r="G13" s="1176"/>
      <c r="H13" s="1176"/>
      <c r="I13" s="1176"/>
      <c r="J13" s="1176"/>
      <c r="K13" s="518"/>
      <c r="L13" s="180"/>
      <c r="M13"/>
      <c r="N13"/>
      <c r="O13"/>
      <c r="P13"/>
      <c r="Q13"/>
      <c r="R13"/>
    </row>
    <row r="14" spans="2:18" ht="24.95" customHeight="1" x14ac:dyDescent="0.25">
      <c r="B14" s="1315"/>
      <c r="C14" s="1316"/>
      <c r="D14" s="1316"/>
      <c r="E14" s="1316"/>
      <c r="F14" s="1202"/>
      <c r="G14" s="1202"/>
      <c r="H14" s="1202"/>
      <c r="I14" s="1202"/>
      <c r="J14" s="1202"/>
      <c r="K14" s="1202"/>
      <c r="L14" s="1203"/>
      <c r="M14"/>
      <c r="N14"/>
      <c r="O14"/>
      <c r="P14"/>
      <c r="Q14"/>
      <c r="R14"/>
    </row>
    <row r="15" spans="2:18" x14ac:dyDescent="0.25">
      <c r="B15" s="1145" t="s">
        <v>624</v>
      </c>
      <c r="C15" s="1145"/>
      <c r="D15" s="1145"/>
      <c r="E15" s="1145"/>
      <c r="F15" s="1146" t="s">
        <v>625</v>
      </c>
      <c r="G15" s="1146"/>
      <c r="H15" s="1146"/>
      <c r="I15" s="1146"/>
      <c r="J15" s="1146"/>
      <c r="K15" s="1146"/>
      <c r="L15" s="1146"/>
      <c r="M15"/>
      <c r="N15"/>
      <c r="O15"/>
      <c r="P15"/>
      <c r="Q15"/>
      <c r="R15"/>
    </row>
    <row r="16" spans="2:18" s="71" customFormat="1" x14ac:dyDescent="0.25">
      <c r="B16" s="120"/>
      <c r="C16" s="120"/>
      <c r="D16" s="120"/>
      <c r="E16" s="119"/>
      <c r="F16" s="119"/>
      <c r="G16" s="119"/>
      <c r="H16" s="119"/>
      <c r="I16" s="119"/>
      <c r="J16" s="119"/>
      <c r="K16" s="119"/>
      <c r="L16" s="119"/>
      <c r="M16"/>
      <c r="N16"/>
      <c r="O16"/>
      <c r="P16"/>
      <c r="Q16"/>
      <c r="R16"/>
    </row>
    <row r="17" spans="1:18" ht="31.5" x14ac:dyDescent="0.5">
      <c r="A17" s="193"/>
      <c r="B17" s="1310" t="s">
        <v>296</v>
      </c>
      <c r="C17" s="1310"/>
      <c r="D17" s="1310"/>
      <c r="E17" s="1184"/>
      <c r="F17" s="1185"/>
      <c r="G17" s="1185"/>
      <c r="H17" s="1185"/>
      <c r="I17" s="1185"/>
      <c r="J17" s="1185"/>
      <c r="K17" s="1185"/>
      <c r="L17" s="1186"/>
      <c r="M17"/>
      <c r="N17"/>
      <c r="O17"/>
      <c r="P17"/>
      <c r="Q17"/>
      <c r="R17"/>
    </row>
    <row r="18" spans="1:18" x14ac:dyDescent="0.25">
      <c r="B18" s="118"/>
      <c r="C18" s="118"/>
      <c r="D18" s="118"/>
      <c r="E18" s="180"/>
      <c r="F18" s="180"/>
      <c r="G18" s="180"/>
      <c r="H18" s="180"/>
      <c r="I18" s="518"/>
      <c r="J18" s="180"/>
      <c r="K18" s="518"/>
      <c r="L18" s="180"/>
      <c r="M18"/>
      <c r="N18"/>
      <c r="O18"/>
      <c r="P18"/>
      <c r="Q18"/>
      <c r="R18"/>
    </row>
    <row r="19" spans="1:18" ht="20.100000000000001" customHeight="1" x14ac:dyDescent="0.25">
      <c r="B19" s="1311" t="s">
        <v>8</v>
      </c>
      <c r="C19" s="1311"/>
      <c r="D19" s="1311"/>
      <c r="E19" s="1312" t="s">
        <v>60</v>
      </c>
      <c r="F19" s="1313"/>
      <c r="G19" s="1313"/>
      <c r="H19" s="1313"/>
      <c r="I19" s="1313"/>
      <c r="J19" s="1313"/>
      <c r="K19" s="1313"/>
      <c r="L19" s="1314"/>
      <c r="M19"/>
      <c r="N19"/>
      <c r="O19"/>
      <c r="P19"/>
      <c r="Q19"/>
      <c r="R19"/>
    </row>
    <row r="20" spans="1:18" ht="20.100000000000001" customHeight="1" x14ac:dyDescent="0.25">
      <c r="B20" s="1329" t="s">
        <v>164</v>
      </c>
      <c r="C20" s="1329"/>
      <c r="D20" s="1329"/>
      <c r="E20" s="1180" t="str">
        <f>IF(E19=0,list!B82,VLOOKUP(E19,RakovodnaDl[],2,0))</f>
        <v>няма определена</v>
      </c>
      <c r="F20" s="1180"/>
      <c r="G20" s="1180"/>
      <c r="H20" s="1180"/>
      <c r="I20" s="1180"/>
      <c r="J20" s="1180"/>
      <c r="K20" s="1180"/>
      <c r="L20" s="1180"/>
      <c r="M20"/>
      <c r="N20"/>
      <c r="O20"/>
      <c r="P20"/>
      <c r="Q20"/>
      <c r="R20"/>
    </row>
    <row r="21" spans="1:18" s="71" customFormat="1" ht="7.5" customHeight="1" x14ac:dyDescent="0.25">
      <c r="B21" s="120"/>
      <c r="C21" s="120"/>
      <c r="D21" s="120"/>
      <c r="E21" s="119"/>
      <c r="F21" s="119"/>
      <c r="G21" s="119"/>
      <c r="H21" s="119"/>
      <c r="I21" s="119"/>
      <c r="J21" s="119"/>
      <c r="K21" s="119"/>
      <c r="L21" s="119"/>
      <c r="M21"/>
      <c r="N21"/>
      <c r="O21"/>
      <c r="P21"/>
      <c r="Q21"/>
      <c r="R21"/>
    </row>
    <row r="22" spans="1:18" ht="20.100000000000001" customHeight="1" x14ac:dyDescent="0.25">
      <c r="B22" s="437" t="s">
        <v>527</v>
      </c>
      <c r="C22" s="363" t="s">
        <v>528</v>
      </c>
      <c r="D22" s="364"/>
      <c r="E22" s="363" t="s">
        <v>529</v>
      </c>
      <c r="F22" s="1196"/>
      <c r="G22" s="1197"/>
      <c r="H22" s="1198"/>
      <c r="I22" s="363" t="s">
        <v>530</v>
      </c>
      <c r="J22" s="589"/>
      <c r="K22" s="363" t="s">
        <v>531</v>
      </c>
      <c r="L22" s="589"/>
      <c r="M22"/>
      <c r="N22"/>
      <c r="O22"/>
      <c r="P22"/>
      <c r="Q22"/>
      <c r="R22"/>
    </row>
    <row r="23" spans="1:18" ht="6.75" customHeight="1" thickBot="1" x14ac:dyDescent="0.3">
      <c r="C23" s="3"/>
      <c r="D23" s="3"/>
      <c r="E23" s="3"/>
      <c r="M23"/>
      <c r="N23"/>
      <c r="O23"/>
      <c r="P23"/>
      <c r="Q23"/>
      <c r="R23"/>
    </row>
    <row r="24" spans="1:18" ht="41.25" customHeight="1" thickBot="1" x14ac:dyDescent="0.3">
      <c r="B24" s="1346" t="s">
        <v>437</v>
      </c>
      <c r="C24" s="1347"/>
      <c r="D24" s="1348" t="str">
        <f>'1. Планд'!D23</f>
        <v>2020/2021</v>
      </c>
      <c r="E24" s="1348"/>
      <c r="F24" s="1349" t="str">
        <f>ПЕРИОД!D16</f>
        <v>ЛЕТЕН СЕМЕСТЪР
ЛЯТНА СЕСИЯ</v>
      </c>
      <c r="G24" s="1350"/>
      <c r="H24" s="508" t="s">
        <v>156</v>
      </c>
      <c r="I24" s="1355" t="s">
        <v>68</v>
      </c>
      <c r="J24" s="1356"/>
      <c r="K24" s="1353" t="s">
        <v>69</v>
      </c>
      <c r="L24" s="1354"/>
      <c r="M24"/>
      <c r="N24"/>
      <c r="O24"/>
      <c r="P24"/>
      <c r="Q24"/>
      <c r="R24"/>
    </row>
    <row r="25" spans="1:18" s="184" customFormat="1" ht="27" customHeight="1" thickBot="1" x14ac:dyDescent="0.3">
      <c r="B25" s="1330" t="s">
        <v>9</v>
      </c>
      <c r="C25" s="1331"/>
      <c r="D25" s="1331"/>
      <c r="E25" s="1331"/>
      <c r="F25" s="1331"/>
      <c r="G25" s="1331"/>
      <c r="H25" s="1331"/>
      <c r="I25" s="1331"/>
      <c r="J25" s="1331"/>
      <c r="K25" s="1331"/>
      <c r="L25" s="1332"/>
      <c r="M25"/>
      <c r="N25"/>
      <c r="O25"/>
      <c r="P25"/>
      <c r="Q25"/>
      <c r="R25"/>
    </row>
    <row r="26" spans="1:18" ht="24.95" customHeight="1" x14ac:dyDescent="0.25">
      <c r="B26" s="1333" t="s">
        <v>769</v>
      </c>
      <c r="C26" s="1334"/>
      <c r="D26" s="1334"/>
      <c r="E26" s="1334"/>
      <c r="F26" s="1334"/>
      <c r="G26" s="1334"/>
      <c r="H26" s="514">
        <f>CHOOSE(ПЕРИОД!$D$15,0,'1. Планд'!H26,'1. Планд'!I26,SUM('1. Планд'!H26:I26)*N(A$26))</f>
        <v>0</v>
      </c>
      <c r="I26" s="1357">
        <f>CHOOSE(ПЕРИОД!$D$15,0,'1. Планд'!J26,'1. Планд'!K26,SUM('1. Планд'!J26:K26)*N(A$26))</f>
        <v>0</v>
      </c>
      <c r="J26" s="1358"/>
      <c r="K26" s="1357">
        <f>'1. Планд'!L26</f>
        <v>0</v>
      </c>
      <c r="L26" s="1358"/>
      <c r="M26"/>
      <c r="N26"/>
      <c r="O26"/>
      <c r="P26"/>
      <c r="Q26"/>
      <c r="R26"/>
    </row>
    <row r="27" spans="1:18" ht="24.95" customHeight="1" thickBot="1" x14ac:dyDescent="0.3">
      <c r="B27" s="1351" t="s">
        <v>770</v>
      </c>
      <c r="C27" s="1352"/>
      <c r="D27" s="1352"/>
      <c r="E27" s="1352"/>
      <c r="F27" s="1352"/>
      <c r="G27" s="1352"/>
      <c r="H27" s="512">
        <f>CHOOSE(ПЕРИОД!$D$15,0,'1. Планд'!H27,'1. Планд'!I27,SUM('1. Планд'!H27:I27)*N(A$26))</f>
        <v>0</v>
      </c>
      <c r="I27" s="1359">
        <f>CHOOSE(ПЕРИОД!$D$15,0,'1. Планд'!J27,'1. Планд'!K27,SUM('1. Планд'!J27:K27)*N(A$26))</f>
        <v>0</v>
      </c>
      <c r="J27" s="1360"/>
      <c r="K27" s="1359">
        <f>'1. Планд'!L27</f>
        <v>0</v>
      </c>
      <c r="L27" s="1360"/>
      <c r="M27"/>
      <c r="N27"/>
      <c r="O27"/>
      <c r="P27"/>
      <c r="Q27"/>
      <c r="R27"/>
    </row>
    <row r="28" spans="1:18" ht="24.95" customHeight="1" thickTop="1" x14ac:dyDescent="0.25">
      <c r="B28" s="1333" t="s">
        <v>771</v>
      </c>
      <c r="C28" s="1334"/>
      <c r="D28" s="1334"/>
      <c r="E28" s="1334"/>
      <c r="F28" s="1334"/>
      <c r="G28" s="1334"/>
      <c r="H28" s="510">
        <f>CHOOSE(ПЕРИОД!$D$15,0,'1. Планд'!H28,'1. Планд'!I28,SUM('1. Планд'!H28:I28)*N(A$26))</f>
        <v>0</v>
      </c>
      <c r="I28" s="1361">
        <f>CHOOSE(ПЕРИОД!$D$15,0,'1. Планд'!J28,'1. Планд'!K28,SUM('1. Планд'!J28:K28)*N(A$26))</f>
        <v>0</v>
      </c>
      <c r="J28" s="1362"/>
      <c r="K28" s="1361">
        <f>'1. Планд'!L28</f>
        <v>0</v>
      </c>
      <c r="L28" s="1362"/>
      <c r="M28"/>
      <c r="N28"/>
      <c r="O28"/>
      <c r="P28"/>
      <c r="Q28"/>
      <c r="R28"/>
    </row>
    <row r="29" spans="1:18" ht="24.95" customHeight="1" thickBot="1" x14ac:dyDescent="0.3">
      <c r="B29" s="1335" t="s">
        <v>772</v>
      </c>
      <c r="C29" s="1336"/>
      <c r="D29" s="1336"/>
      <c r="E29" s="1336"/>
      <c r="F29" s="1336"/>
      <c r="G29" s="1336"/>
      <c r="H29" s="515">
        <f>CHOOSE(ПЕРИОД!$D$15,0,'1. Планд'!H29,'1. Планд'!I29,SUM('1. Планд'!H29:I29)*N(A$26))</f>
        <v>0</v>
      </c>
      <c r="I29" s="1363">
        <f>CHOOSE(ПЕРИОД!$D$15,0,'1. Планд'!J29,'1. Планд'!K29,SUM('1. Планд'!J29:K29)*N(A$26))</f>
        <v>0</v>
      </c>
      <c r="J29" s="1364"/>
      <c r="K29" s="1363">
        <f>'1. Планд'!L29</f>
        <v>0</v>
      </c>
      <c r="L29" s="1364"/>
      <c r="M29"/>
      <c r="N29"/>
      <c r="O29"/>
      <c r="P29"/>
      <c r="Q29"/>
      <c r="R29"/>
    </row>
    <row r="30" spans="1:18" s="185" customFormat="1" ht="27" customHeight="1" thickBot="1" x14ac:dyDescent="0.35">
      <c r="B30" s="1343" t="s">
        <v>10</v>
      </c>
      <c r="C30" s="1344"/>
      <c r="D30" s="1344"/>
      <c r="E30" s="1344"/>
      <c r="F30" s="1344"/>
      <c r="G30" s="1344"/>
      <c r="H30" s="1344"/>
      <c r="I30" s="1344"/>
      <c r="J30" s="1344"/>
      <c r="K30" s="1344"/>
      <c r="L30" s="1345"/>
      <c r="M30"/>
      <c r="N30"/>
      <c r="O30"/>
      <c r="P30"/>
      <c r="Q30"/>
      <c r="R30"/>
    </row>
    <row r="31" spans="1:18" ht="27" customHeight="1" thickBot="1" x14ac:dyDescent="0.3">
      <c r="B31" s="1337" t="s">
        <v>773</v>
      </c>
      <c r="C31" s="1338"/>
      <c r="D31" s="1338"/>
      <c r="E31" s="1338"/>
      <c r="F31" s="1338"/>
      <c r="G31" s="1338"/>
      <c r="H31" s="509">
        <f>SUM(H32:H38)</f>
        <v>0</v>
      </c>
      <c r="I31" s="1506">
        <f>SUM(I32:J38)</f>
        <v>0</v>
      </c>
      <c r="J31" s="1507"/>
      <c r="K31" s="1512">
        <v>0</v>
      </c>
      <c r="L31" s="1513"/>
      <c r="M31"/>
      <c r="N31"/>
      <c r="O31"/>
      <c r="P31"/>
      <c r="Q31"/>
      <c r="R31"/>
    </row>
    <row r="32" spans="1:18" ht="24" customHeight="1" thickTop="1" x14ac:dyDescent="0.25">
      <c r="B32" s="1339" t="s">
        <v>774</v>
      </c>
      <c r="C32" s="1340"/>
      <c r="D32" s="1340"/>
      <c r="E32" s="1340"/>
      <c r="F32" s="1340"/>
      <c r="G32" s="1340"/>
      <c r="H32" s="911">
        <f>CHOOSE(ПЕРИОД!$D$15,0,'1. Планд'!H32,'1. Планд'!I32,SUM('1. Планд'!H32:I32))</f>
        <v>0</v>
      </c>
      <c r="I32" s="1508">
        <f>CHOOSE(ПЕРИОД!$D$15,0,'1. Планд'!J32,'1. Планд'!K32,SUM('1. Планд'!J32:K32))</f>
        <v>0</v>
      </c>
      <c r="J32" s="1509"/>
      <c r="K32" s="1514">
        <v>0</v>
      </c>
      <c r="L32" s="1515"/>
      <c r="M32"/>
      <c r="N32"/>
      <c r="O32"/>
      <c r="P32"/>
      <c r="Q32"/>
      <c r="R32"/>
    </row>
    <row r="33" spans="2:18" ht="24" customHeight="1" thickBot="1" x14ac:dyDescent="0.3">
      <c r="B33" s="1341" t="s">
        <v>775</v>
      </c>
      <c r="C33" s="1342"/>
      <c r="D33" s="1342"/>
      <c r="E33" s="1342"/>
      <c r="F33" s="1342"/>
      <c r="G33" s="1342"/>
      <c r="H33" s="912">
        <f>CHOOSE(ПЕРИОД!$D$15,0,'1. Планд'!H33,'1. Планд'!I33,SUM('1. Планд'!H33:I33))</f>
        <v>0</v>
      </c>
      <c r="I33" s="1375">
        <f>CHOOSE(ПЕРИОД!$D$15,0,'1. Планд'!J33,'1. Планд'!K33,SUM('1. Планд'!J33:K33))</f>
        <v>0</v>
      </c>
      <c r="J33" s="1376"/>
      <c r="K33" s="1498">
        <v>0</v>
      </c>
      <c r="L33" s="1499"/>
      <c r="M33"/>
      <c r="N33"/>
      <c r="O33"/>
      <c r="P33"/>
      <c r="Q33"/>
      <c r="R33"/>
    </row>
    <row r="34" spans="2:18" ht="24" customHeight="1" thickTop="1" x14ac:dyDescent="0.25">
      <c r="B34" s="1365" t="s">
        <v>776</v>
      </c>
      <c r="C34" s="1366"/>
      <c r="D34" s="1366"/>
      <c r="E34" s="1366"/>
      <c r="F34" s="1366"/>
      <c r="G34" s="1366"/>
      <c r="H34" s="913">
        <f>CHOOSE(ПЕРИОД!$D$15,0,'1. Планд'!H34,'1. Планд'!I34,SUM('1. Планд'!H34:I34))</f>
        <v>0</v>
      </c>
      <c r="I34" s="1510">
        <f>CHOOSE(ПЕРИОД!$D$15,0,'1. Планд'!J34,'1. Планд'!K34,SUM('1. Планд'!J34:K34))</f>
        <v>0</v>
      </c>
      <c r="J34" s="1511"/>
      <c r="K34" s="1516">
        <v>0</v>
      </c>
      <c r="L34" s="1517"/>
      <c r="M34"/>
      <c r="N34"/>
      <c r="O34"/>
      <c r="P34"/>
      <c r="Q34"/>
      <c r="R34"/>
    </row>
    <row r="35" spans="2:18" ht="35.1" customHeight="1" x14ac:dyDescent="0.25">
      <c r="B35" s="1367" t="s">
        <v>777</v>
      </c>
      <c r="C35" s="1368"/>
      <c r="D35" s="1368"/>
      <c r="E35" s="1368"/>
      <c r="F35" s="1368"/>
      <c r="G35" s="1368"/>
      <c r="H35" s="914">
        <f>CHOOSE(ПЕРИОД!$D$15,0,'1. Планд'!H35,'1. Планд'!I35,SUM('1. Планд'!H35:I35))</f>
        <v>0</v>
      </c>
      <c r="I35" s="1373">
        <f>CHOOSE(ПЕРИОД!$D$15,0,'1. Планд'!J35,'1. Планд'!K35,SUM('1. Планд'!J35:K35))</f>
        <v>0</v>
      </c>
      <c r="J35" s="1374"/>
      <c r="K35" s="1502">
        <v>0</v>
      </c>
      <c r="L35" s="1503"/>
    </row>
    <row r="36" spans="2:18" ht="24" customHeight="1" x14ac:dyDescent="0.25">
      <c r="B36" s="1367" t="s">
        <v>778</v>
      </c>
      <c r="C36" s="1368"/>
      <c r="D36" s="1368"/>
      <c r="E36" s="1368"/>
      <c r="F36" s="1368"/>
      <c r="G36" s="1368"/>
      <c r="H36" s="914">
        <f>CHOOSE(ПЕРИОД!$D$15,0,'1. Планд'!H36,'1. Планд'!I36,SUM('1. Планд'!H36:I36))</f>
        <v>0</v>
      </c>
      <c r="I36" s="1373">
        <f>CHOOSE(ПЕРИОД!$D$15,0,'1. Планд'!J36,'1. Планд'!K36,SUM('1. Планд'!J36:K36))</f>
        <v>0</v>
      </c>
      <c r="J36" s="1374"/>
      <c r="K36" s="1502">
        <v>0</v>
      </c>
      <c r="L36" s="1503"/>
    </row>
    <row r="37" spans="2:18" ht="24" customHeight="1" x14ac:dyDescent="0.25">
      <c r="B37" s="1367" t="s">
        <v>779</v>
      </c>
      <c r="C37" s="1368"/>
      <c r="D37" s="1368"/>
      <c r="E37" s="1368"/>
      <c r="F37" s="1368"/>
      <c r="G37" s="1368"/>
      <c r="H37" s="914">
        <f>CHOOSE(ПЕРИОД!$D$15,0,'1. Планд'!H37,'1. Планд'!I37,SUM('1. Планд'!H37:I37))</f>
        <v>0</v>
      </c>
      <c r="I37" s="1373">
        <f>CHOOSE(ПЕРИОД!$D$15,0,'1. Планд'!J37,'1. Планд'!K37,SUM('1. Планд'!J37:K37))</f>
        <v>0</v>
      </c>
      <c r="J37" s="1374"/>
      <c r="K37" s="1502">
        <v>0</v>
      </c>
      <c r="L37" s="1503"/>
    </row>
    <row r="38" spans="2:18" ht="24" customHeight="1" thickBot="1" x14ac:dyDescent="0.3">
      <c r="B38" s="1341" t="s">
        <v>780</v>
      </c>
      <c r="C38" s="1342"/>
      <c r="D38" s="1342"/>
      <c r="E38" s="1342"/>
      <c r="F38" s="1342"/>
      <c r="G38" s="1342"/>
      <c r="H38" s="912">
        <f>CHOOSE(ПЕРИОД!$D$15,0,'1. Планд'!H38,'1. Планд'!I38,SUM('1. Планд'!H38:I38))</f>
        <v>0</v>
      </c>
      <c r="I38" s="1375">
        <f>CHOOSE(ПЕРИОД!$D$15,0,'1. Планд'!J38,'1. Планд'!K38,SUM('1. Планд'!J38:K38))</f>
        <v>0</v>
      </c>
      <c r="J38" s="1376"/>
      <c r="K38" s="1498">
        <v>0</v>
      </c>
      <c r="L38" s="1499"/>
    </row>
    <row r="39" spans="2:18" ht="27" customHeight="1" thickTop="1" x14ac:dyDescent="0.25">
      <c r="B39" s="1333" t="s">
        <v>781</v>
      </c>
      <c r="C39" s="1334"/>
      <c r="D39" s="1334"/>
      <c r="E39" s="1334"/>
      <c r="F39" s="1334"/>
      <c r="G39" s="1334"/>
      <c r="H39" s="510">
        <f>CHOOSE(ПЕРИОД!$D$15,0,'1. Планд'!H39,'1. Планд'!I39,SUM('1. Планд'!H39:I39))</f>
        <v>0</v>
      </c>
      <c r="I39" s="1361">
        <f>CHOOSE(ПЕРИОД!$D$15,0,'1. Планд'!J39,'1. Планд'!K39,SUM('1. Планд'!J39:K39))</f>
        <v>0</v>
      </c>
      <c r="J39" s="1377"/>
      <c r="K39" s="1500">
        <v>0</v>
      </c>
      <c r="L39" s="1501"/>
    </row>
    <row r="40" spans="2:18" ht="27" customHeight="1" x14ac:dyDescent="0.25">
      <c r="B40" s="1381" t="s">
        <v>782</v>
      </c>
      <c r="C40" s="1382"/>
      <c r="D40" s="1382"/>
      <c r="E40" s="1382"/>
      <c r="F40" s="1382"/>
      <c r="G40" s="1382"/>
      <c r="H40" s="511">
        <f>CHOOSE(ПЕРИОД!$D$15,0,'1. Планд'!H40,'1. Планд'!I40,SUM('1. Планд'!H40:I40))</f>
        <v>0</v>
      </c>
      <c r="I40" s="1378">
        <f>CHOOSE(ПЕРИОД!$D$15,0,'1. Планд'!J40,'1. Планд'!K40,SUM('1. Планд'!J40:K40))</f>
        <v>0</v>
      </c>
      <c r="J40" s="1379"/>
      <c r="K40" s="1502">
        <v>0</v>
      </c>
      <c r="L40" s="1503"/>
    </row>
    <row r="41" spans="2:18" ht="27" customHeight="1" thickBot="1" x14ac:dyDescent="0.3">
      <c r="B41" s="1351" t="s">
        <v>783</v>
      </c>
      <c r="C41" s="1352"/>
      <c r="D41" s="1352"/>
      <c r="E41" s="1352"/>
      <c r="F41" s="1352"/>
      <c r="G41" s="1352"/>
      <c r="H41" s="512">
        <f>CHOOSE(ПЕРИОД!$D$15,0,'1. Планд'!H41,'1. Планд'!I41,SUM('1. Планд'!H41:I41))</f>
        <v>0</v>
      </c>
      <c r="I41" s="1359">
        <f>CHOOSE(ПЕРИОД!$D$15,0,'1. Планд'!J41,'1. Планд'!K41,SUM('1. Планд'!J41:K41))</f>
        <v>0</v>
      </c>
      <c r="J41" s="1380"/>
      <c r="K41" s="1504">
        <v>0</v>
      </c>
      <c r="L41" s="1505"/>
    </row>
    <row r="42" spans="2:18" ht="27" customHeight="1" thickTop="1" x14ac:dyDescent="0.25">
      <c r="B42" s="1333" t="s">
        <v>784</v>
      </c>
      <c r="C42" s="1334"/>
      <c r="D42" s="1334"/>
      <c r="E42" s="1334"/>
      <c r="F42" s="1334"/>
      <c r="G42" s="1334"/>
      <c r="H42" s="510">
        <f>CHOOSE(ПЕРИОД!$D$15,0,'1. Планд'!H42,'1. Планд'!I42,SUM('1. Планд'!H42:I42))</f>
        <v>0</v>
      </c>
      <c r="I42" s="1361">
        <f>CHOOSE(ПЕРИОД!$D$15,0,'1. Планд'!J42,'1. Планд'!K42,SUM('1. Планд'!J42:K42))</f>
        <v>0</v>
      </c>
      <c r="J42" s="1377"/>
      <c r="K42" s="1500">
        <v>0</v>
      </c>
      <c r="L42" s="1501"/>
    </row>
    <row r="43" spans="2:18" ht="27" customHeight="1" x14ac:dyDescent="0.25">
      <c r="B43" s="1381" t="s">
        <v>785</v>
      </c>
      <c r="C43" s="1382"/>
      <c r="D43" s="1382"/>
      <c r="E43" s="1382"/>
      <c r="F43" s="1382"/>
      <c r="G43" s="1382"/>
      <c r="H43" s="511">
        <f>CHOOSE(ПЕРИОД!$D$15,0,'1. Планд'!H43,'1. Планд'!I43,SUM('1. Планд'!H43:I43))</f>
        <v>0</v>
      </c>
      <c r="I43" s="1378">
        <f>CHOOSE(ПЕРИОД!$D$15,0,'1. Планд'!J43,'1. Планд'!K43,SUM('1. Планд'!J43:K43))</f>
        <v>0</v>
      </c>
      <c r="J43" s="1379"/>
      <c r="K43" s="1502">
        <v>0</v>
      </c>
      <c r="L43" s="1503"/>
    </row>
    <row r="44" spans="2:18" ht="27" customHeight="1" thickBot="1" x14ac:dyDescent="0.3">
      <c r="B44" s="1383" t="s">
        <v>786</v>
      </c>
      <c r="C44" s="1384"/>
      <c r="D44" s="1384"/>
      <c r="E44" s="1384"/>
      <c r="F44" s="1384"/>
      <c r="G44" s="1385"/>
      <c r="H44" s="512">
        <f>CHOOSE(ПЕРИОД!$D$15,0,'1. Планд'!H44,'1. Планд'!I44,SUM('1. Планд'!H44:I44))</f>
        <v>0</v>
      </c>
      <c r="I44" s="1359">
        <f>CHOOSE(ПЕРИОД!$D$15,0,'1. Планд'!J44,'1. Планд'!K44,SUM('1. Планд'!J44:K44))</f>
        <v>0</v>
      </c>
      <c r="J44" s="1380"/>
      <c r="K44" s="1504">
        <v>0</v>
      </c>
      <c r="L44" s="1505"/>
    </row>
    <row r="45" spans="2:18" ht="27" customHeight="1" thickTop="1" x14ac:dyDescent="0.25">
      <c r="B45" s="1333" t="s">
        <v>787</v>
      </c>
      <c r="C45" s="1334"/>
      <c r="D45" s="1334"/>
      <c r="E45" s="1334"/>
      <c r="F45" s="1334"/>
      <c r="G45" s="1334"/>
      <c r="H45" s="510">
        <f>CHOOSE(ПЕРИОД!$D$15,0,'1. Планд'!H45,'1. Планд'!I45,0)</f>
        <v>0</v>
      </c>
      <c r="I45" s="1361">
        <f>CHOOSE(ПЕРИОД!$D$15,0,'1. Планд'!J45,'1. Планд'!K45,0)</f>
        <v>0</v>
      </c>
      <c r="J45" s="1377"/>
      <c r="K45" s="1500">
        <v>0</v>
      </c>
      <c r="L45" s="1501"/>
    </row>
    <row r="46" spans="2:18" ht="27" customHeight="1" x14ac:dyDescent="0.25">
      <c r="B46" s="1381" t="s">
        <v>788</v>
      </c>
      <c r="C46" s="1382"/>
      <c r="D46" s="1382"/>
      <c r="E46" s="1382"/>
      <c r="F46" s="1382"/>
      <c r="G46" s="1382"/>
      <c r="H46" s="511">
        <f>CHOOSE(ПЕРИОД!$D$15,0,'1. Планд'!H46,'1. Планд'!I46,0)</f>
        <v>0</v>
      </c>
      <c r="I46" s="1378">
        <f>CHOOSE(ПЕРИОД!$D$15,0,'1. Планд'!J46,'1. Планд'!K46,0)</f>
        <v>0</v>
      </c>
      <c r="J46" s="1379"/>
      <c r="K46" s="1502">
        <v>0</v>
      </c>
      <c r="L46" s="1503"/>
    </row>
    <row r="47" spans="2:18" ht="27" customHeight="1" thickBot="1" x14ac:dyDescent="0.3">
      <c r="B47" s="1351" t="s">
        <v>789</v>
      </c>
      <c r="C47" s="1352"/>
      <c r="D47" s="1352"/>
      <c r="E47" s="1352"/>
      <c r="F47" s="1352"/>
      <c r="G47" s="1352"/>
      <c r="H47" s="512">
        <f>CHOOSE(ПЕРИОД!$D$15,0,'1. Планд'!H47,'1. Планд'!I47,0)</f>
        <v>0</v>
      </c>
      <c r="I47" s="1359">
        <f>CHOOSE(ПЕРИОД!$D$15,0,'1. Планд'!J47,'1. Планд'!K47,0)</f>
        <v>0</v>
      </c>
      <c r="J47" s="1380"/>
      <c r="K47" s="1504">
        <v>0</v>
      </c>
      <c r="L47" s="1505"/>
    </row>
    <row r="48" spans="2:18" ht="27" customHeight="1" thickTop="1" x14ac:dyDescent="0.25">
      <c r="B48" s="1392" t="s">
        <v>790</v>
      </c>
      <c r="C48" s="1393"/>
      <c r="D48" s="1393"/>
      <c r="E48" s="1393"/>
      <c r="F48" s="1393"/>
      <c r="G48" s="1394"/>
      <c r="H48" s="516">
        <v>0</v>
      </c>
      <c r="I48" s="1415">
        <v>0</v>
      </c>
      <c r="J48" s="1416"/>
      <c r="K48" s="1377">
        <f>'1. Планд'!L48</f>
        <v>0</v>
      </c>
      <c r="L48" s="1362"/>
    </row>
    <row r="49" spans="2:18" ht="27" customHeight="1" thickBot="1" x14ac:dyDescent="0.3">
      <c r="B49" s="1395" t="s">
        <v>791</v>
      </c>
      <c r="C49" s="1396"/>
      <c r="D49" s="1396"/>
      <c r="E49" s="1396"/>
      <c r="F49" s="1396"/>
      <c r="G49" s="1396"/>
      <c r="H49" s="517">
        <v>0</v>
      </c>
      <c r="I49" s="1417">
        <v>0</v>
      </c>
      <c r="J49" s="1418"/>
      <c r="K49" s="1486">
        <f>'1. Планд'!L49</f>
        <v>0</v>
      </c>
      <c r="L49" s="1364"/>
    </row>
    <row r="50" spans="2:18" ht="27" customHeight="1" x14ac:dyDescent="0.25">
      <c r="B50" s="1397" t="s">
        <v>414</v>
      </c>
      <c r="C50" s="1398"/>
      <c r="D50" s="1398"/>
      <c r="E50" s="1398"/>
      <c r="F50" s="1398"/>
      <c r="G50" s="1399"/>
      <c r="H50" s="910">
        <f t="shared" ref="H50" si="0">SUM(H51,H34:H47)</f>
        <v>0</v>
      </c>
      <c r="I50" s="1419">
        <f>SUM(I51,I34:J47)</f>
        <v>0</v>
      </c>
      <c r="J50" s="1420"/>
      <c r="K50" s="1487">
        <f>IFERROR(SUM(K48:L49,K51),0)</f>
        <v>0</v>
      </c>
      <c r="L50" s="1420"/>
    </row>
    <row r="51" spans="2:18" ht="27" customHeight="1" thickBot="1" x14ac:dyDescent="0.3">
      <c r="B51" s="1400" t="s">
        <v>11</v>
      </c>
      <c r="C51" s="1401"/>
      <c r="D51" s="1401"/>
      <c r="E51" s="1401"/>
      <c r="F51" s="1401"/>
      <c r="G51" s="1402"/>
      <c r="H51" s="916">
        <f>SUM(H26:H29,H32:H33)</f>
        <v>0</v>
      </c>
      <c r="I51" s="1421">
        <f>SUM(I26:J29,I32:J33)</f>
        <v>0</v>
      </c>
      <c r="J51" s="1422"/>
      <c r="K51" s="1488">
        <f>IFERROR(SUM(K26:L29),0)</f>
        <v>0</v>
      </c>
      <c r="L51" s="1489"/>
    </row>
    <row r="52" spans="2:18" ht="27" customHeight="1" x14ac:dyDescent="0.25">
      <c r="B52" s="1403" t="s">
        <v>549</v>
      </c>
      <c r="C52" s="1404"/>
      <c r="D52" s="1404"/>
      <c r="E52" s="1404"/>
      <c r="F52" s="1404"/>
      <c r="G52" s="1405"/>
      <c r="H52" s="1409">
        <f>'1. Планд'!H52</f>
        <v>0</v>
      </c>
      <c r="I52" s="1410"/>
      <c r="J52" s="1411"/>
      <c r="K52" s="1490">
        <v>0</v>
      </c>
      <c r="L52" s="1491"/>
      <c r="N52"/>
      <c r="O52"/>
      <c r="P52"/>
      <c r="Q52"/>
      <c r="R52"/>
    </row>
    <row r="53" spans="2:18" ht="27" customHeight="1" thickBot="1" x14ac:dyDescent="0.3">
      <c r="B53" s="1406" t="s">
        <v>550</v>
      </c>
      <c r="C53" s="1407"/>
      <c r="D53" s="1407"/>
      <c r="E53" s="1407"/>
      <c r="F53" s="1407"/>
      <c r="G53" s="1408"/>
      <c r="H53" s="1412">
        <f>'1. Планд'!H53</f>
        <v>0</v>
      </c>
      <c r="I53" s="1413"/>
      <c r="J53" s="1414"/>
      <c r="K53" s="1492">
        <v>0</v>
      </c>
      <c r="L53" s="1493"/>
      <c r="N53"/>
      <c r="O53"/>
      <c r="P53"/>
      <c r="Q53"/>
      <c r="R53"/>
    </row>
    <row r="54" spans="2:18" ht="27" customHeight="1" x14ac:dyDescent="0.25">
      <c r="B54" s="1369" t="s">
        <v>415</v>
      </c>
      <c r="C54" s="1370"/>
      <c r="D54" s="1370"/>
      <c r="E54" s="1370"/>
      <c r="F54" s="1370"/>
      <c r="G54" s="1371"/>
      <c r="H54" s="1372">
        <f>IFERROR(SUM(H50:J50,H52),0)</f>
        <v>0</v>
      </c>
      <c r="I54" s="1372"/>
      <c r="J54" s="1372"/>
      <c r="K54" s="1494">
        <f>IFERROR(SUM(K55,K48:L49),0)</f>
        <v>0</v>
      </c>
      <c r="L54" s="1495"/>
      <c r="N54"/>
      <c r="O54"/>
      <c r="P54"/>
      <c r="Q54"/>
      <c r="R54"/>
    </row>
    <row r="55" spans="2:18" ht="27" customHeight="1" thickBot="1" x14ac:dyDescent="0.3">
      <c r="B55" s="1386" t="s">
        <v>413</v>
      </c>
      <c r="C55" s="1387"/>
      <c r="D55" s="1387"/>
      <c r="E55" s="1387"/>
      <c r="F55" s="1387"/>
      <c r="G55" s="1388"/>
      <c r="H55" s="1389">
        <f>IFERROR(SUM(H51:J51,H53),0)</f>
        <v>0</v>
      </c>
      <c r="I55" s="1389"/>
      <c r="J55" s="1389"/>
      <c r="K55" s="1496">
        <f>IFERROR(SUM(K26:L29),0)</f>
        <v>0</v>
      </c>
      <c r="L55" s="1497"/>
      <c r="N55"/>
      <c r="O55"/>
      <c r="P55"/>
      <c r="Q55"/>
      <c r="R55"/>
    </row>
    <row r="56" spans="2:18" ht="8.1" customHeight="1" thickBot="1" x14ac:dyDescent="0.3">
      <c r="B56" s="4"/>
      <c r="C56" s="4"/>
      <c r="D56" s="4"/>
      <c r="E56" s="4"/>
      <c r="F56" s="4"/>
      <c r="G56" s="4"/>
      <c r="H56" s="5"/>
      <c r="I56" s="5"/>
      <c r="J56" s="5"/>
      <c r="K56" s="5"/>
      <c r="L56" s="5"/>
      <c r="N56"/>
      <c r="O56"/>
      <c r="P56"/>
      <c r="Q56"/>
      <c r="R56"/>
    </row>
    <row r="57" spans="2:18" x14ac:dyDescent="0.25">
      <c r="B57" s="1390" t="s">
        <v>75</v>
      </c>
      <c r="C57" s="1391"/>
      <c r="D57" s="1391"/>
      <c r="E57" s="1391"/>
      <c r="F57" s="1391"/>
      <c r="G57" s="1391"/>
      <c r="H57" s="199" t="s">
        <v>67</v>
      </c>
      <c r="I57" s="1482" t="s">
        <v>68</v>
      </c>
      <c r="J57" s="1483"/>
      <c r="K57" s="1482" t="s">
        <v>3</v>
      </c>
      <c r="L57" s="1485"/>
      <c r="N57"/>
      <c r="O57"/>
      <c r="P57"/>
      <c r="Q57"/>
      <c r="R57"/>
    </row>
    <row r="58" spans="2:18" ht="27" customHeight="1" x14ac:dyDescent="0.25">
      <c r="B58" s="1222" t="s">
        <v>306</v>
      </c>
      <c r="C58" s="1223"/>
      <c r="D58" s="1223"/>
      <c r="E58" s="1223"/>
      <c r="F58" s="1223"/>
      <c r="G58" s="1224"/>
      <c r="H58" s="117" cm="1">
        <f t="array" ref="H58">CHOOSE(ПЕРИОД!$D$15,0,SUMPRODUCT((BAZZS[Студенти]&gt;0)*(BAZZS[Лекции]+BAZZS[Упражнения])),SUMPRODUCT((BAZLS[Студенти]&gt;0)*(BAZLS[Лекции]+BAZLS[Упражнения])),0)</f>
        <v>0</v>
      </c>
      <c r="I58" s="1479" cm="1">
        <f t="array" ref="I58">CHOOSE(ПЕРИОД!$D$15,0,SUMPRODUCT((MAZZS[Студенти]&gt;0)*(MAZZS[Лекции]+MAZZS[Упражнения])),SUMPRODUCT((MAZLS[Студенти]&gt;0)*(MAZLS[Лекции]+MAZLS[Упражнения])),0)</f>
        <v>0</v>
      </c>
      <c r="J58" s="1484"/>
      <c r="K58" s="1479">
        <f>SUM(H58:I58)</f>
        <v>0</v>
      </c>
      <c r="L58" s="1480"/>
      <c r="N58"/>
      <c r="O58"/>
      <c r="P58"/>
      <c r="Q58"/>
      <c r="R58"/>
    </row>
    <row r="59" spans="2:18" ht="27" customHeight="1" thickBot="1" x14ac:dyDescent="0.3">
      <c r="B59" s="1147" t="s">
        <v>305</v>
      </c>
      <c r="C59" s="1148"/>
      <c r="D59" s="1148"/>
      <c r="E59" s="1148"/>
      <c r="F59" s="1148"/>
      <c r="G59" s="1148"/>
      <c r="H59" s="116" cm="1">
        <f t="array" ref="H59">CHOOSE(ПЕРИОД!$D$15,0,SUMPRODUCT((BAZZS[Вид]="З")*(BAZZS[Студенти]&gt;0)*(BAZZS[Лекции]+BAZZS[Упражнения])),SUMPRODUCT((BAZLS[Вид]="З")*(BAZLS[Студенти]&gt;0)*(BAZLS[Лекции]+BAZLS[Упражнения])),0)</f>
        <v>0</v>
      </c>
      <c r="I59" s="1431" cm="1">
        <f t="array" ref="I59">CHOOSE(ПЕРИОД!$D$15,0,SUMPRODUCT((MAZZS[Вид]="З")*(MAZZS[Студенти]&gt;0)*(MAZZS[Лекции]+MAZZS[Упражнения])),SUMPRODUCT((MAZLS[Вид]="З")*(MAZLS[Студенти]&gt;0)*(MAZLS[Лекции]+MAZLS[Упражнения])),0)</f>
        <v>0</v>
      </c>
      <c r="J59" s="1432"/>
      <c r="K59" s="1431">
        <f>SUM(H59:I59)</f>
        <v>0</v>
      </c>
      <c r="L59" s="1481"/>
      <c r="N59"/>
      <c r="O59"/>
      <c r="P59"/>
      <c r="Q59"/>
      <c r="R59"/>
    </row>
    <row r="60" spans="2:18" ht="8.1" customHeight="1" thickBot="1" x14ac:dyDescent="0.3">
      <c r="B60" s="23"/>
      <c r="C60" s="23"/>
      <c r="D60" s="23"/>
      <c r="E60" s="23"/>
      <c r="F60" s="23"/>
      <c r="G60" s="23"/>
      <c r="H60" s="22"/>
      <c r="I60" s="22"/>
      <c r="J60" s="5"/>
      <c r="K60" s="5"/>
      <c r="L60" s="5"/>
      <c r="N60"/>
      <c r="O60"/>
      <c r="P60"/>
      <c r="Q60"/>
      <c r="R60"/>
    </row>
    <row r="61" spans="2:18" ht="27" customHeight="1" x14ac:dyDescent="0.25">
      <c r="B61" s="1423" t="s">
        <v>109</v>
      </c>
      <c r="C61" s="1424"/>
      <c r="D61" s="1424"/>
      <c r="E61" s="1424"/>
      <c r="F61" s="1424"/>
      <c r="G61" s="1424"/>
      <c r="H61" s="1424"/>
      <c r="I61" s="1424"/>
      <c r="J61" s="1424"/>
      <c r="K61" s="1425"/>
      <c r="L61" s="1426"/>
      <c r="N61"/>
      <c r="O61"/>
      <c r="P61"/>
      <c r="Q61"/>
      <c r="R61"/>
    </row>
    <row r="62" spans="2:18" ht="27" customHeight="1" x14ac:dyDescent="0.25">
      <c r="B62" s="1110" t="s">
        <v>110</v>
      </c>
      <c r="C62" s="1111"/>
      <c r="D62" s="1112"/>
      <c r="E62" s="1113"/>
      <c r="F62" s="1113"/>
      <c r="G62" s="1113"/>
      <c r="H62" s="1113"/>
      <c r="I62" s="1113"/>
      <c r="J62" s="1113"/>
      <c r="K62" s="1113"/>
      <c r="L62" s="1114"/>
      <c r="N62"/>
      <c r="O62"/>
      <c r="P62"/>
      <c r="Q62"/>
      <c r="R62"/>
    </row>
    <row r="63" spans="2:18" ht="46.5" customHeight="1" thickBot="1" x14ac:dyDescent="0.3">
      <c r="B63" s="1115" t="s">
        <v>111</v>
      </c>
      <c r="C63" s="1116"/>
      <c r="D63" s="1427" t="s">
        <v>73</v>
      </c>
      <c r="E63" s="1428"/>
      <c r="F63" s="1428"/>
      <c r="G63" s="1429"/>
      <c r="H63" s="1427" t="s">
        <v>74</v>
      </c>
      <c r="I63" s="1428"/>
      <c r="J63" s="1428"/>
      <c r="K63" s="1428"/>
      <c r="L63" s="1430"/>
    </row>
    <row r="64" spans="2:18" ht="8.1" customHeight="1" x14ac:dyDescent="0.25">
      <c r="B64" s="4"/>
      <c r="C64" s="4"/>
      <c r="D64" s="4"/>
      <c r="E64" s="4"/>
      <c r="F64" s="4"/>
      <c r="G64" s="4"/>
      <c r="H64" s="5"/>
      <c r="I64" s="5"/>
      <c r="J64" s="5"/>
      <c r="K64" s="5"/>
      <c r="L64" s="5"/>
    </row>
    <row r="65" spans="1:14" s="194" customFormat="1" ht="18.75" customHeight="1" x14ac:dyDescent="0.25">
      <c r="A65" s="196"/>
      <c r="B65" s="1447" t="s">
        <v>12</v>
      </c>
      <c r="C65" s="1448"/>
      <c r="D65" s="1448"/>
      <c r="E65" s="1448"/>
      <c r="F65" s="1448"/>
      <c r="G65" s="1448"/>
      <c r="H65" s="1448"/>
      <c r="I65" s="1448"/>
      <c r="J65" s="1448"/>
      <c r="K65" s="1448"/>
      <c r="L65" s="1449"/>
    </row>
    <row r="66" spans="1:14" s="194" customFormat="1" ht="31.5" x14ac:dyDescent="0.25">
      <c r="A66" s="197"/>
      <c r="B66" s="1450" t="s">
        <v>193</v>
      </c>
      <c r="C66" s="1451"/>
      <c r="D66" s="1451"/>
      <c r="E66" s="1451"/>
      <c r="F66" s="1451"/>
      <c r="G66" s="1451"/>
      <c r="H66" s="1451"/>
      <c r="I66" s="1451"/>
      <c r="J66" s="1451"/>
      <c r="K66" s="1451"/>
      <c r="L66" s="1452"/>
    </row>
    <row r="67" spans="1:14" s="194" customFormat="1" ht="23.25" x14ac:dyDescent="0.25">
      <c r="A67" s="195"/>
      <c r="B67" s="1453" t="s">
        <v>13</v>
      </c>
      <c r="C67" s="1454"/>
      <c r="D67" s="1454"/>
      <c r="E67" s="1454"/>
      <c r="F67" s="1454"/>
      <c r="G67" s="1454"/>
      <c r="H67" s="1454"/>
      <c r="I67" s="1454"/>
      <c r="J67" s="1454"/>
      <c r="K67" s="1454"/>
      <c r="L67" s="1455"/>
    </row>
    <row r="68" spans="1:14" s="71" customFormat="1" x14ac:dyDescent="0.25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</row>
    <row r="69" spans="1:14" s="71" customFormat="1" ht="28.5" x14ac:dyDescent="0.25">
      <c r="B69" s="1456" t="s">
        <v>604</v>
      </c>
      <c r="C69" s="1457"/>
      <c r="D69" s="1457"/>
      <c r="E69" s="1457"/>
      <c r="F69" s="1457"/>
      <c r="G69" s="1457"/>
      <c r="H69" s="1457"/>
      <c r="I69" s="1457"/>
      <c r="J69" s="1457"/>
      <c r="K69" s="1457"/>
      <c r="L69" s="1458"/>
      <c r="N69" s="523" t="s">
        <v>592</v>
      </c>
    </row>
    <row r="70" spans="1:14" s="71" customFormat="1" ht="28.5" x14ac:dyDescent="0.25">
      <c r="B70" s="1433" t="s">
        <v>605</v>
      </c>
      <c r="C70" s="1434"/>
      <c r="D70" s="1434"/>
      <c r="E70" s="1434"/>
      <c r="F70" s="1434"/>
      <c r="G70" s="1434"/>
      <c r="H70" s="1434"/>
      <c r="I70" s="1434"/>
      <c r="J70" s="1434"/>
      <c r="K70" s="1434"/>
      <c r="L70" s="1435"/>
      <c r="N70" s="523" t="s">
        <v>592</v>
      </c>
    </row>
    <row r="71" spans="1:14" s="71" customFormat="1" ht="23.25" x14ac:dyDescent="0.35">
      <c r="B71" s="1433" t="s">
        <v>677</v>
      </c>
      <c r="C71" s="1434"/>
      <c r="D71" s="1434"/>
      <c r="E71" s="1434"/>
      <c r="F71" s="1434"/>
      <c r="G71" s="1434"/>
      <c r="H71" s="1434"/>
      <c r="I71" s="1434"/>
      <c r="J71" s="1434"/>
      <c r="K71" s="1434"/>
      <c r="L71" s="1435"/>
      <c r="N71" s="524" t="s">
        <v>591</v>
      </c>
    </row>
    <row r="72" spans="1:14" ht="21.75" customHeight="1" x14ac:dyDescent="0.25">
      <c r="B72" s="1459" t="s">
        <v>4</v>
      </c>
      <c r="C72" s="1460"/>
      <c r="D72" s="1460"/>
      <c r="E72" s="1460"/>
      <c r="F72" s="1460"/>
      <c r="G72" s="1460"/>
      <c r="H72" s="1460"/>
      <c r="I72" s="1460"/>
      <c r="J72" s="1460"/>
      <c r="K72" s="1460"/>
      <c r="L72" s="1461"/>
    </row>
    <row r="73" spans="1:14" x14ac:dyDescent="0.25">
      <c r="B73" s="1471" t="s">
        <v>438</v>
      </c>
      <c r="C73" s="1472"/>
      <c r="D73" s="1472"/>
      <c r="E73" s="1472"/>
      <c r="F73" s="1472"/>
      <c r="G73" s="1472"/>
      <c r="H73" s="1472"/>
      <c r="I73" s="1472"/>
      <c r="J73" s="1472"/>
      <c r="K73" s="1472"/>
      <c r="L73" s="1473"/>
    </row>
    <row r="74" spans="1:14" x14ac:dyDescent="0.25">
      <c r="B74" s="1436" t="s">
        <v>599</v>
      </c>
      <c r="C74" s="1437"/>
      <c r="D74" s="1437"/>
      <c r="E74" s="1437"/>
      <c r="F74" s="1437"/>
      <c r="G74" s="1437"/>
      <c r="H74" s="1437"/>
      <c r="I74" s="1437"/>
      <c r="J74" s="1437"/>
      <c r="K74" s="1437"/>
      <c r="L74" s="1438"/>
    </row>
    <row r="75" spans="1:14" ht="147" customHeight="1" x14ac:dyDescent="0.25">
      <c r="B75" s="1439" t="s">
        <v>689</v>
      </c>
      <c r="C75" s="1440"/>
      <c r="D75" s="1440"/>
      <c r="E75" s="1440"/>
      <c r="F75" s="1440"/>
      <c r="G75" s="1440"/>
      <c r="H75" s="1440"/>
      <c r="I75" s="1440"/>
      <c r="J75" s="1440"/>
      <c r="K75" s="1440"/>
      <c r="L75" s="1441"/>
    </row>
    <row r="76" spans="1:14" ht="50.25" customHeight="1" x14ac:dyDescent="0.25">
      <c r="B76" s="1439" t="s">
        <v>600</v>
      </c>
      <c r="C76" s="1440"/>
      <c r="D76" s="1440"/>
      <c r="E76" s="1440"/>
      <c r="F76" s="1440"/>
      <c r="G76" s="1440"/>
      <c r="H76" s="1440"/>
      <c r="I76" s="1440"/>
      <c r="J76" s="1440"/>
      <c r="K76" s="1440"/>
      <c r="L76" s="1441"/>
    </row>
    <row r="77" spans="1:14" s="40" customFormat="1" ht="15" customHeight="1" x14ac:dyDescent="0.25">
      <c r="B77" s="521"/>
      <c r="C77" s="1442" t="s">
        <v>14</v>
      </c>
      <c r="D77" s="1443"/>
      <c r="E77" s="1444" t="s">
        <v>15</v>
      </c>
      <c r="F77" s="1444"/>
      <c r="G77" s="182"/>
      <c r="H77" s="182"/>
      <c r="I77" s="520"/>
      <c r="J77" s="1445"/>
      <c r="K77" s="1445"/>
      <c r="L77" s="1446"/>
    </row>
    <row r="78" spans="1:14" s="40" customFormat="1" ht="15" customHeight="1" x14ac:dyDescent="0.25">
      <c r="B78" s="521"/>
      <c r="C78" s="1477" t="s">
        <v>794</v>
      </c>
      <c r="D78" s="1478"/>
      <c r="E78" s="1463">
        <v>1</v>
      </c>
      <c r="F78" s="1463"/>
      <c r="G78" s="183"/>
      <c r="H78" s="183"/>
      <c r="I78" s="519"/>
      <c r="J78" s="1464"/>
      <c r="K78" s="1464"/>
      <c r="L78" s="1464"/>
    </row>
    <row r="79" spans="1:14" s="40" customFormat="1" ht="15" customHeight="1" x14ac:dyDescent="0.25">
      <c r="B79" s="521"/>
      <c r="C79" s="1477" t="s">
        <v>795</v>
      </c>
      <c r="D79" s="1478"/>
      <c r="E79" s="1463">
        <v>0.8</v>
      </c>
      <c r="F79" s="1463"/>
      <c r="G79" s="183"/>
      <c r="H79" s="183"/>
      <c r="I79" s="519"/>
      <c r="J79" s="1464"/>
      <c r="K79" s="1464"/>
      <c r="L79" s="1464"/>
    </row>
    <row r="80" spans="1:14" ht="15" customHeight="1" x14ac:dyDescent="0.25">
      <c r="B80" s="522"/>
      <c r="C80" s="1477" t="s">
        <v>796</v>
      </c>
      <c r="D80" s="1478"/>
      <c r="E80" s="1463">
        <v>0.6</v>
      </c>
      <c r="F80" s="1463"/>
      <c r="G80" s="183"/>
      <c r="H80" s="183"/>
      <c r="I80" s="519"/>
      <c r="J80" s="1464"/>
      <c r="K80" s="1464"/>
      <c r="L80" s="1464"/>
    </row>
    <row r="81" spans="2:12" s="40" customFormat="1" ht="15" customHeight="1" x14ac:dyDescent="0.25">
      <c r="B81" s="521"/>
      <c r="C81" s="1477" t="s">
        <v>797</v>
      </c>
      <c r="D81" s="1478"/>
      <c r="E81" s="1463">
        <v>0.5</v>
      </c>
      <c r="F81" s="1463"/>
      <c r="G81" s="183"/>
      <c r="H81" s="183"/>
      <c r="I81" s="519"/>
      <c r="J81" s="1464"/>
      <c r="K81" s="1464"/>
      <c r="L81" s="1464"/>
    </row>
    <row r="82" spans="2:12" s="40" customFormat="1" ht="15" customHeight="1" x14ac:dyDescent="0.25">
      <c r="B82" s="521"/>
      <c r="C82" s="1477" t="s">
        <v>798</v>
      </c>
      <c r="D82" s="1478"/>
      <c r="E82" s="1463">
        <v>0.3</v>
      </c>
      <c r="F82" s="1463"/>
      <c r="G82" s="183"/>
      <c r="H82" s="183"/>
      <c r="I82" s="519"/>
      <c r="J82" s="1464"/>
      <c r="K82" s="1464"/>
      <c r="L82" s="1464"/>
    </row>
    <row r="83" spans="2:12" s="40" customFormat="1" ht="15" customHeight="1" x14ac:dyDescent="0.25">
      <c r="B83" s="521"/>
      <c r="C83" s="1477" t="s">
        <v>303</v>
      </c>
      <c r="D83" s="1478"/>
      <c r="E83" s="1463">
        <v>0.2</v>
      </c>
      <c r="F83" s="1463"/>
      <c r="G83" s="183"/>
      <c r="H83" s="183"/>
      <c r="I83" s="519"/>
      <c r="J83" s="1470"/>
      <c r="K83" s="1470"/>
      <c r="L83" s="1464"/>
    </row>
    <row r="84" spans="2:12" ht="31.5" customHeight="1" x14ac:dyDescent="0.25">
      <c r="B84" s="1439" t="s">
        <v>155</v>
      </c>
      <c r="C84" s="1440"/>
      <c r="D84" s="1440"/>
      <c r="E84" s="1440"/>
      <c r="F84" s="1440"/>
      <c r="G84" s="1440"/>
      <c r="H84" s="1440"/>
      <c r="I84" s="1440"/>
      <c r="J84" s="1440"/>
      <c r="K84" s="1440"/>
      <c r="L84" s="1441"/>
    </row>
    <row r="85" spans="2:12" ht="65.25" customHeight="1" x14ac:dyDescent="0.25">
      <c r="B85" s="1439" t="s">
        <v>601</v>
      </c>
      <c r="C85" s="1440"/>
      <c r="D85" s="1440"/>
      <c r="E85" s="1440"/>
      <c r="F85" s="1440"/>
      <c r="G85" s="1440"/>
      <c r="H85" s="1440"/>
      <c r="I85" s="1440"/>
      <c r="J85" s="1440"/>
      <c r="K85" s="1440"/>
      <c r="L85" s="1441"/>
    </row>
    <row r="86" spans="2:12" ht="15" customHeight="1" x14ac:dyDescent="0.25">
      <c r="B86" s="521"/>
      <c r="C86" s="1444" t="s">
        <v>14</v>
      </c>
      <c r="D86" s="1444"/>
      <c r="E86" s="1444" t="s">
        <v>15</v>
      </c>
      <c r="F86" s="1444"/>
      <c r="G86" s="182"/>
      <c r="H86" s="182"/>
      <c r="I86" s="520"/>
      <c r="J86" s="1445"/>
      <c r="K86" s="1445"/>
      <c r="L86" s="1446"/>
    </row>
    <row r="87" spans="2:12" ht="15" customHeight="1" x14ac:dyDescent="0.25">
      <c r="B87" s="521"/>
      <c r="C87" s="1462" t="s">
        <v>794</v>
      </c>
      <c r="D87" s="1462"/>
      <c r="E87" s="1463">
        <v>1</v>
      </c>
      <c r="F87" s="1463"/>
      <c r="G87" s="183"/>
      <c r="H87" s="183"/>
      <c r="I87" s="519"/>
      <c r="J87" s="1464"/>
      <c r="K87" s="1464"/>
      <c r="L87" s="1464"/>
    </row>
    <row r="88" spans="2:12" x14ac:dyDescent="0.25">
      <c r="B88" s="521"/>
      <c r="C88" s="1462" t="s">
        <v>795</v>
      </c>
      <c r="D88" s="1462"/>
      <c r="E88" s="1463">
        <v>0.8</v>
      </c>
      <c r="F88" s="1463"/>
      <c r="G88" s="183"/>
      <c r="H88" s="183"/>
      <c r="I88" s="519"/>
      <c r="J88" s="1464"/>
      <c r="K88" s="1464"/>
      <c r="L88" s="1464"/>
    </row>
    <row r="89" spans="2:12" x14ac:dyDescent="0.25">
      <c r="B89" s="522"/>
      <c r="C89" s="1462" t="s">
        <v>796</v>
      </c>
      <c r="D89" s="1462"/>
      <c r="E89" s="1463">
        <v>0.6</v>
      </c>
      <c r="F89" s="1463"/>
      <c r="G89" s="183"/>
      <c r="H89" s="183"/>
      <c r="I89" s="519"/>
      <c r="J89" s="1464"/>
      <c r="K89" s="1464"/>
      <c r="L89" s="1464"/>
    </row>
    <row r="90" spans="2:12" x14ac:dyDescent="0.25">
      <c r="B90" s="521"/>
      <c r="C90" s="1462" t="s">
        <v>797</v>
      </c>
      <c r="D90" s="1462"/>
      <c r="E90" s="1463">
        <v>0.5</v>
      </c>
      <c r="F90" s="1463"/>
      <c r="G90" s="183"/>
      <c r="H90" s="183"/>
      <c r="I90" s="519"/>
      <c r="J90" s="1464"/>
      <c r="K90" s="1464"/>
      <c r="L90" s="1464"/>
    </row>
    <row r="91" spans="2:12" x14ac:dyDescent="0.25">
      <c r="B91" s="521"/>
      <c r="C91" s="1462" t="s">
        <v>798</v>
      </c>
      <c r="D91" s="1462"/>
      <c r="E91" s="1463">
        <v>0.3</v>
      </c>
      <c r="F91" s="1463"/>
      <c r="G91" s="183"/>
      <c r="H91" s="183"/>
      <c r="I91" s="519"/>
      <c r="J91" s="1464"/>
      <c r="K91" s="1464"/>
      <c r="L91" s="1464"/>
    </row>
    <row r="92" spans="2:12" x14ac:dyDescent="0.25">
      <c r="B92" s="521"/>
      <c r="C92" s="1462" t="s">
        <v>303</v>
      </c>
      <c r="D92" s="1462"/>
      <c r="E92" s="1463">
        <v>0.2</v>
      </c>
      <c r="F92" s="1463"/>
      <c r="G92" s="183"/>
      <c r="H92" s="183"/>
      <c r="I92" s="519"/>
      <c r="J92" s="1470"/>
      <c r="K92" s="1470"/>
      <c r="L92" s="1464"/>
    </row>
    <row r="93" spans="2:12" x14ac:dyDescent="0.25">
      <c r="B93" s="30"/>
      <c r="C93" s="29"/>
      <c r="D93" s="29"/>
      <c r="E93" s="29"/>
      <c r="F93" s="29"/>
      <c r="G93" s="183"/>
      <c r="H93" s="183"/>
      <c r="I93" s="519"/>
      <c r="J93" s="183"/>
      <c r="K93" s="519"/>
      <c r="L93" s="181"/>
    </row>
    <row r="94" spans="2:12" x14ac:dyDescent="0.25">
      <c r="B94" s="1471" t="s">
        <v>439</v>
      </c>
      <c r="C94" s="1472"/>
      <c r="D94" s="1472"/>
      <c r="E94" s="1472"/>
      <c r="F94" s="1472"/>
      <c r="G94" s="1472"/>
      <c r="H94" s="1472"/>
      <c r="I94" s="1472"/>
      <c r="J94" s="1472"/>
      <c r="K94" s="1472"/>
      <c r="L94" s="1473"/>
    </row>
    <row r="95" spans="2:12" ht="33.75" customHeight="1" x14ac:dyDescent="0.25">
      <c r="B95" s="1436" t="s">
        <v>602</v>
      </c>
      <c r="C95" s="1437"/>
      <c r="D95" s="1437"/>
      <c r="E95" s="1437"/>
      <c r="F95" s="1437"/>
      <c r="G95" s="1437"/>
      <c r="H95" s="1437"/>
      <c r="I95" s="1437"/>
      <c r="J95" s="1437"/>
      <c r="K95" s="1437"/>
      <c r="L95" s="1438"/>
    </row>
    <row r="96" spans="2:12" x14ac:dyDescent="0.25">
      <c r="B96" s="521"/>
      <c r="C96" s="1444" t="s">
        <v>107</v>
      </c>
      <c r="D96" s="1444"/>
      <c r="E96" s="1444" t="s">
        <v>15</v>
      </c>
      <c r="F96" s="1444"/>
      <c r="G96" s="115"/>
      <c r="H96" s="115"/>
      <c r="I96" s="115"/>
      <c r="J96" s="1469"/>
      <c r="K96" s="1469"/>
      <c r="L96" s="1469"/>
    </row>
    <row r="97" spans="2:12" ht="15" customHeight="1" x14ac:dyDescent="0.25">
      <c r="B97" s="521"/>
      <c r="C97" s="1462" t="s">
        <v>799</v>
      </c>
      <c r="D97" s="1462"/>
      <c r="E97" s="1468">
        <v>1</v>
      </c>
      <c r="F97" s="1468"/>
      <c r="G97" s="183"/>
      <c r="H97" s="183"/>
      <c r="I97" s="519"/>
      <c r="J97" s="1469"/>
      <c r="K97" s="1469"/>
      <c r="L97" s="1469"/>
    </row>
    <row r="98" spans="2:12" x14ac:dyDescent="0.25">
      <c r="B98" s="522"/>
      <c r="C98" s="1462" t="s">
        <v>800</v>
      </c>
      <c r="D98" s="1462"/>
      <c r="E98" s="1468">
        <v>0.8</v>
      </c>
      <c r="F98" s="1468"/>
      <c r="G98" s="183"/>
      <c r="H98" s="183"/>
      <c r="I98" s="519"/>
      <c r="J98" s="1469"/>
      <c r="K98" s="1469"/>
      <c r="L98" s="1469"/>
    </row>
    <row r="99" spans="2:12" x14ac:dyDescent="0.25">
      <c r="B99" s="521"/>
      <c r="C99" s="1462" t="s">
        <v>304</v>
      </c>
      <c r="D99" s="1462"/>
      <c r="E99" s="1468">
        <v>0.6</v>
      </c>
      <c r="F99" s="1468"/>
      <c r="G99" s="183"/>
      <c r="H99" s="183"/>
      <c r="I99" s="519"/>
      <c r="J99" s="1469"/>
      <c r="K99" s="1469"/>
      <c r="L99" s="1469"/>
    </row>
    <row r="100" spans="2:12" ht="29.25" customHeight="1" x14ac:dyDescent="0.25">
      <c r="B100" s="1474" t="s">
        <v>603</v>
      </c>
      <c r="C100" s="1475"/>
      <c r="D100" s="1475"/>
      <c r="E100" s="1475"/>
      <c r="F100" s="1475"/>
      <c r="G100" s="1475"/>
      <c r="H100" s="1475"/>
      <c r="I100" s="1475"/>
      <c r="J100" s="1475"/>
      <c r="K100" s="1475"/>
      <c r="L100" s="1476"/>
    </row>
    <row r="101" spans="2:12" ht="30" customHeight="1" x14ac:dyDescent="0.25">
      <c r="B101" s="1465" t="s">
        <v>805</v>
      </c>
      <c r="C101" s="1466"/>
      <c r="D101" s="1466"/>
      <c r="E101" s="1466"/>
      <c r="F101" s="1466"/>
      <c r="G101" s="1466"/>
      <c r="H101" s="1466"/>
      <c r="I101" s="1466"/>
      <c r="J101" s="1466"/>
      <c r="K101" s="1466"/>
      <c r="L101" s="1467"/>
    </row>
  </sheetData>
  <sheetProtection algorithmName="SHA-512" hashValue="sL20UoioikRU1EV3GD4kC0gwMfjjjT0XaG6jYJxiFzF1gpLh5tIf3Okqh/gvBFXyIX3lOQbKogBqmIXOz056+A==" saltValue="AnZoQHETDxE0EkSvjzKg5w==" spinCount="100000" sheet="1" objects="1" scenarios="1" formatCells="0" formatRows="0"/>
  <mergeCells count="207">
    <mergeCell ref="K36:L36"/>
    <mergeCell ref="K37:L37"/>
    <mergeCell ref="I29:J29"/>
    <mergeCell ref="I31:J31"/>
    <mergeCell ref="I32:J32"/>
    <mergeCell ref="I33:J33"/>
    <mergeCell ref="I34:J34"/>
    <mergeCell ref="I35:J35"/>
    <mergeCell ref="K31:L31"/>
    <mergeCell ref="K32:L32"/>
    <mergeCell ref="K33:L33"/>
    <mergeCell ref="K34:L34"/>
    <mergeCell ref="K35:L35"/>
    <mergeCell ref="K49:L49"/>
    <mergeCell ref="K50:L50"/>
    <mergeCell ref="K51:L51"/>
    <mergeCell ref="K52:L52"/>
    <mergeCell ref="K53:L53"/>
    <mergeCell ref="K54:L54"/>
    <mergeCell ref="K55:L55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C82:D82"/>
    <mergeCell ref="E82:F82"/>
    <mergeCell ref="J82:L82"/>
    <mergeCell ref="K58:L58"/>
    <mergeCell ref="K59:L59"/>
    <mergeCell ref="I57:J57"/>
    <mergeCell ref="I58:J58"/>
    <mergeCell ref="C83:D83"/>
    <mergeCell ref="E83:F83"/>
    <mergeCell ref="J83:L83"/>
    <mergeCell ref="C80:D80"/>
    <mergeCell ref="E80:F80"/>
    <mergeCell ref="J80:L80"/>
    <mergeCell ref="C81:D81"/>
    <mergeCell ref="E81:F81"/>
    <mergeCell ref="J81:L81"/>
    <mergeCell ref="C78:D78"/>
    <mergeCell ref="E78:F78"/>
    <mergeCell ref="J78:L78"/>
    <mergeCell ref="C79:D79"/>
    <mergeCell ref="E79:F79"/>
    <mergeCell ref="K57:L57"/>
    <mergeCell ref="J79:L79"/>
    <mergeCell ref="B73:L73"/>
    <mergeCell ref="C90:D90"/>
    <mergeCell ref="E90:F90"/>
    <mergeCell ref="J90:L90"/>
    <mergeCell ref="C91:D91"/>
    <mergeCell ref="E91:F91"/>
    <mergeCell ref="J91:L91"/>
    <mergeCell ref="C88:D88"/>
    <mergeCell ref="E88:F88"/>
    <mergeCell ref="C99:D99"/>
    <mergeCell ref="E99:F99"/>
    <mergeCell ref="J99:L99"/>
    <mergeCell ref="J88:L88"/>
    <mergeCell ref="C89:D89"/>
    <mergeCell ref="E89:F89"/>
    <mergeCell ref="J89:L89"/>
    <mergeCell ref="B84:L84"/>
    <mergeCell ref="B85:L85"/>
    <mergeCell ref="C86:D86"/>
    <mergeCell ref="E86:F86"/>
    <mergeCell ref="J86:L86"/>
    <mergeCell ref="C87:D87"/>
    <mergeCell ref="E87:F87"/>
    <mergeCell ref="J87:L87"/>
    <mergeCell ref="B101:L101"/>
    <mergeCell ref="C97:D97"/>
    <mergeCell ref="E97:F97"/>
    <mergeCell ref="J97:L97"/>
    <mergeCell ref="C98:D98"/>
    <mergeCell ref="E98:F98"/>
    <mergeCell ref="J98:L98"/>
    <mergeCell ref="C92:D92"/>
    <mergeCell ref="E92:F92"/>
    <mergeCell ref="J92:L92"/>
    <mergeCell ref="B94:L94"/>
    <mergeCell ref="B95:L95"/>
    <mergeCell ref="C96:D96"/>
    <mergeCell ref="E96:F96"/>
    <mergeCell ref="J96:L96"/>
    <mergeCell ref="B100:L100"/>
    <mergeCell ref="B74:L74"/>
    <mergeCell ref="B75:L75"/>
    <mergeCell ref="B76:L76"/>
    <mergeCell ref="C77:D77"/>
    <mergeCell ref="E77:F77"/>
    <mergeCell ref="J77:L77"/>
    <mergeCell ref="B65:L65"/>
    <mergeCell ref="B66:L66"/>
    <mergeCell ref="B67:L67"/>
    <mergeCell ref="B69:L69"/>
    <mergeCell ref="B70:L70"/>
    <mergeCell ref="B72:L72"/>
    <mergeCell ref="B59:G59"/>
    <mergeCell ref="B61:L61"/>
    <mergeCell ref="B62:C62"/>
    <mergeCell ref="D62:L62"/>
    <mergeCell ref="B63:C63"/>
    <mergeCell ref="D63:G63"/>
    <mergeCell ref="H63:L63"/>
    <mergeCell ref="I59:J59"/>
    <mergeCell ref="B71:L71"/>
    <mergeCell ref="B55:G55"/>
    <mergeCell ref="H55:J55"/>
    <mergeCell ref="B57:G57"/>
    <mergeCell ref="B58:G58"/>
    <mergeCell ref="B46:G46"/>
    <mergeCell ref="B47:G47"/>
    <mergeCell ref="B48:G48"/>
    <mergeCell ref="B49:G49"/>
    <mergeCell ref="B50:G50"/>
    <mergeCell ref="B51:G51"/>
    <mergeCell ref="B52:G52"/>
    <mergeCell ref="B53:G53"/>
    <mergeCell ref="H52:J52"/>
    <mergeCell ref="H53:J53"/>
    <mergeCell ref="I48:J48"/>
    <mergeCell ref="I49:J49"/>
    <mergeCell ref="I50:J50"/>
    <mergeCell ref="I51:J51"/>
    <mergeCell ref="I46:J46"/>
    <mergeCell ref="I47:J47"/>
    <mergeCell ref="B45:G45"/>
    <mergeCell ref="B34:G34"/>
    <mergeCell ref="B35:G35"/>
    <mergeCell ref="B36:G36"/>
    <mergeCell ref="B37:G37"/>
    <mergeCell ref="B38:G38"/>
    <mergeCell ref="B39:G39"/>
    <mergeCell ref="B54:G54"/>
    <mergeCell ref="H54:J54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B40:G40"/>
    <mergeCell ref="B41:G41"/>
    <mergeCell ref="B42:G42"/>
    <mergeCell ref="B43:G43"/>
    <mergeCell ref="B44:G44"/>
    <mergeCell ref="B20:D20"/>
    <mergeCell ref="E20:L20"/>
    <mergeCell ref="F22:H22"/>
    <mergeCell ref="B25:L25"/>
    <mergeCell ref="B28:G28"/>
    <mergeCell ref="B29:G29"/>
    <mergeCell ref="B31:G31"/>
    <mergeCell ref="B32:G32"/>
    <mergeCell ref="B33:G33"/>
    <mergeCell ref="B30:L30"/>
    <mergeCell ref="B24:C24"/>
    <mergeCell ref="D24:E24"/>
    <mergeCell ref="F24:G24"/>
    <mergeCell ref="B26:G26"/>
    <mergeCell ref="B27:G27"/>
    <mergeCell ref="K24:L24"/>
    <mergeCell ref="I24:J24"/>
    <mergeCell ref="K26:L26"/>
    <mergeCell ref="K27:L27"/>
    <mergeCell ref="K28:L28"/>
    <mergeCell ref="K29:L29"/>
    <mergeCell ref="I26:J26"/>
    <mergeCell ref="I27:J27"/>
    <mergeCell ref="I28:J28"/>
    <mergeCell ref="B1:L1"/>
    <mergeCell ref="B2:L2"/>
    <mergeCell ref="E4:F4"/>
    <mergeCell ref="B5:L5"/>
    <mergeCell ref="B7:L7"/>
    <mergeCell ref="B17:D17"/>
    <mergeCell ref="E17:L17"/>
    <mergeCell ref="B19:D19"/>
    <mergeCell ref="E19:L19"/>
    <mergeCell ref="F14:L14"/>
    <mergeCell ref="B14:E14"/>
    <mergeCell ref="F15:L15"/>
    <mergeCell ref="B15:E15"/>
    <mergeCell ref="B8:L8"/>
    <mergeCell ref="B9:L9"/>
    <mergeCell ref="B10:L10"/>
    <mergeCell ref="B12:L12"/>
    <mergeCell ref="B13:J13"/>
    <mergeCell ref="E3:F3"/>
    <mergeCell ref="B3:C4"/>
    <mergeCell ref="D3:D4"/>
    <mergeCell ref="L3:L4"/>
    <mergeCell ref="I3:J3"/>
    <mergeCell ref="I4:J4"/>
  </mergeCells>
  <phoneticPr fontId="123" type="noConversion"/>
  <conditionalFormatting sqref="H32:I38">
    <cfRule type="expression" dxfId="800" priority="22">
      <formula>N(H32)&gt;0</formula>
    </cfRule>
  </conditionalFormatting>
  <conditionalFormatting sqref="J22">
    <cfRule type="expression" dxfId="799" priority="16">
      <formula>AND(NOT(nGetLogData1),nGetLenData1&gt;0)</formula>
    </cfRule>
  </conditionalFormatting>
  <conditionalFormatting sqref="L22">
    <cfRule type="expression" dxfId="798" priority="14">
      <formula>AND(NOT(nGetLogData2),nGetLenData2&gt;0)</formula>
    </cfRule>
  </conditionalFormatting>
  <conditionalFormatting sqref="C22:L22">
    <cfRule type="expression" dxfId="797" priority="7">
      <formula>NOT(Лекторат)</formula>
    </cfRule>
  </conditionalFormatting>
  <conditionalFormatting sqref="B7:L7">
    <cfRule type="expression" dxfId="796" priority="5">
      <formula>LEN($B$7)=0</formula>
    </cfRule>
  </conditionalFormatting>
  <conditionalFormatting sqref="B9:L9">
    <cfRule type="expression" dxfId="795" priority="4">
      <formula>LEN($B$9)=0</formula>
    </cfRule>
  </conditionalFormatting>
  <conditionalFormatting sqref="B14:E14">
    <cfRule type="expression" dxfId="794" priority="3">
      <formula>LEN($B$14)=0</formula>
    </cfRule>
  </conditionalFormatting>
  <conditionalFormatting sqref="F14:L14">
    <cfRule type="expression" dxfId="793" priority="2">
      <formula>LEN($F$14)=0</formula>
    </cfRule>
  </conditionalFormatting>
  <conditionalFormatting sqref="E19:L19">
    <cfRule type="expression" dxfId="792" priority="1">
      <formula>LEN($E$19)=0</formula>
    </cfRule>
  </conditionalFormatting>
  <dataValidations count="4">
    <dataValidation type="textLength" allowBlank="1" showInputMessage="1" showErrorMessage="1" promptTitle="Формат за въвеждане на дата" prompt="дд.мм.гггг_x000a_Пример: 01.09.2019" sqref="J22" xr:uid="{08CC7743-26E7-4742-A52C-8D4B6833552D}">
      <formula1>0</formula1>
      <formula2>10</formula2>
    </dataValidation>
    <dataValidation allowBlank="1" showInputMessage="1" showErrorMessage="1" promptTitle="Формат за въвеждане на дата" prompt="дд.мм.гггг_x000a_Пример: 01.09.2020_x000a_" sqref="L22" xr:uid="{6E7F1206-0859-4676-A94F-C103B6FC931A}"/>
    <dataValidation allowBlank="1" showInputMessage="1" showErrorMessage="1" promptTitle="Попълване на избраното поле!" prompt="Въведете само вашите три имена (име, презиме и фамилия) без академична длъжност и научна степен._x000a__x000a_Всички допълнителни пояснения и уточнения се попълват в полето &quot;Допълнителна забележка, ....&quot;." sqref="F14:L14" xr:uid="{A0F65573-64D7-468B-80F1-2F05CED91DBF}"/>
    <dataValidation allowBlank="1" showInputMessage="1" showErrorMessage="1" promptTitle="Попълване на избраното поле!" prompt="Въведете цялото наименование на катедрата." sqref="B9:L9" xr:uid="{274945F6-A243-4CE3-8CD1-9D5677607EF8}"/>
  </dataValidations>
  <hyperlinks>
    <hyperlink ref="E3" location="BMHomeTotal" display="Общо" xr:uid="{00000000-0004-0000-0B00-000000000000}"/>
    <hyperlink ref="D3" location="IPBMD" display="Начало" xr:uid="{00000000-0004-0000-0B00-000001000000}"/>
    <hyperlink ref="E4:F4" location="'1. Отчет'!B72" display="Общи положения" xr:uid="{00000000-0004-0000-0B00-000002000000}"/>
    <hyperlink ref="H3" location="'2. ОКС &quot;бакалавър&quot;'!N24" tooltip="ОКС &quot;бакалавър&quot;" display="ОКС &quot;бакалавър&quot;" xr:uid="{00000000-0004-0000-0B00-000003000000}"/>
    <hyperlink ref="I3" location="ONSDr" display="ОНС &quot;доктор&quot;" xr:uid="{00000000-0004-0000-0B00-000004000000}"/>
    <hyperlink ref="L3" r:id="rId1" xr:uid="{00000000-0004-0000-0B00-000005000000}"/>
    <hyperlink ref="H4" location="'3. ОКС &quot;магистър&quot;'!N24" tooltip="ОКС &quot;магистър&quot;" display="ОКС &quot;магистър&quot;" xr:uid="{1E46BE1B-25B5-48AF-A60B-ADAD6484C54D}"/>
    <hyperlink ref="I3:J3" location="'4. ОНС &quot;доктор&quot;'!B21" tooltip="ОНС &quot;доктор&quot;" display="ОНС &quot;доктор&quot;" xr:uid="{D4895311-CAF0-4E15-B4B7-7F3112174105}"/>
    <hyperlink ref="I4:J4" location="'5. Подготовка на курс'!B23" tooltip="Подготовка на курс" display="Подготовка на курс" xr:uid="{B5126383-BF12-4973-9A38-7A89CFC9C855}"/>
    <hyperlink ref="L3:L4" r:id="rId2" tooltip="ipio@uni-sofia.bg" display="Помощ" xr:uid="{7959834E-DA59-4D95-B55A-875A59EEF121}"/>
    <hyperlink ref="E3:F3" location="'1. Отчет'!B54" display="Общо" xr:uid="{21C76CDC-2170-46AE-A18A-A7C999B349D8}"/>
    <hyperlink ref="D3:D4" location="'1. Отчет'!B14" tooltip="Начало" display="Начало" xr:uid="{4A64B8F0-C52C-4B13-859B-D6A49ED3283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r:id="rId3"/>
  <headerFooter>
    <oddFooter xml:space="preserve">&amp;L&amp;"-,Bold"Преподавател: &amp;"-,Regular"............................
&amp;D&amp;C&amp;"-,Bold"Ръководител катедра:&amp;"-,Regular" ............................
&amp;R&amp;"-,Bold"Декан:&amp;"-,Regular" ............................
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57" r:id="rId6" name="Check Box 33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21</xdr:row>
                    <xdr:rowOff>9525</xdr:rowOff>
                  </from>
                  <to>
                    <xdr:col>1</xdr:col>
                    <xdr:colOff>200025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0000000}">
          <x14:formula1>
            <xm:f>list!$A$2:$A$21</xm:f>
          </x14:formula1>
          <xm:sqref>B7:L7</xm:sqref>
        </x14:dataValidation>
        <x14:dataValidation type="list" allowBlank="1" showInputMessage="1" showErrorMessage="1" xr:uid="{00000000-0002-0000-0B00-000001000000}">
          <x14:formula1>
            <xm:f>list!$A$82:$A$87</xm:f>
          </x14:formula1>
          <xm:sqref>E19:L19</xm:sqref>
        </x14:dataValidation>
        <x14:dataValidation type="list" allowBlank="1" showInputMessage="1" showErrorMessage="1" promptTitle="Попълване на избраното поле!" prompt="Изберете заеманата академична длъжност в СУ без научна степен." xr:uid="{F047816E-E173-44CD-BE2A-662D60631C48}">
          <x14:formula1>
            <xm:f>ПЕРИОД!$F$48:$F$57</xm:f>
          </x14:formula1>
          <xm:sqref>B14:E14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pageSetUpPr fitToPage="1"/>
  </sheetPr>
  <dimension ref="B1:AJ145"/>
  <sheetViews>
    <sheetView showGridLines="0" showRowColHeaders="0" zoomScale="90" zoomScaleNormal="90" workbookViewId="0">
      <pane ySplit="5" topLeftCell="A74" activePane="bottomLeft" state="frozen"/>
      <selection activeCell="B7" sqref="B7:L7"/>
      <selection pane="bottomLeft" activeCell="N80" sqref="N80"/>
    </sheetView>
  </sheetViews>
  <sheetFormatPr defaultColWidth="9.140625" defaultRowHeight="16.5" x14ac:dyDescent="0.3"/>
  <cols>
    <col min="1" max="1" width="2.28515625" style="41" customWidth="1"/>
    <col min="2" max="2" width="11.7109375" style="57" hidden="1" customWidth="1"/>
    <col min="3" max="3" width="5.28515625" style="41" hidden="1" customWidth="1"/>
    <col min="4" max="4" width="11.7109375" style="41" hidden="1" customWidth="1"/>
    <col min="5" max="5" width="9" style="41" hidden="1" customWidth="1"/>
    <col min="6" max="6" width="6" style="41" hidden="1" customWidth="1"/>
    <col min="7" max="7" width="8.85546875" style="41" hidden="1" customWidth="1"/>
    <col min="8" max="8" width="9.5703125" style="41" hidden="1" customWidth="1"/>
    <col min="9" max="9" width="9.28515625" style="41" hidden="1" customWidth="1"/>
    <col min="10" max="10" width="9.42578125" style="41" hidden="1" customWidth="1"/>
    <col min="11" max="11" width="13" style="41" hidden="1" customWidth="1"/>
    <col min="12" max="12" width="9" style="41" hidden="1" customWidth="1"/>
    <col min="13" max="13" width="6.42578125" style="41" hidden="1" customWidth="1"/>
    <col min="14" max="14" width="43.140625" style="41" customWidth="1"/>
    <col min="15" max="15" width="18" style="41" customWidth="1"/>
    <col min="16" max="16" width="15.7109375" style="41" customWidth="1"/>
    <col min="17" max="17" width="9.5703125" style="41" customWidth="1"/>
    <col min="18" max="18" width="10.42578125" style="41" customWidth="1"/>
    <col min="19" max="20" width="10.85546875" style="41" customWidth="1"/>
    <col min="21" max="21" width="16.7109375" style="41" customWidth="1"/>
    <col min="22" max="22" width="13" style="41" customWidth="1"/>
    <col min="23" max="23" width="10" style="41" customWidth="1"/>
    <col min="24" max="24" width="10.85546875" style="41" customWidth="1"/>
    <col min="25" max="25" width="11" style="41" customWidth="1"/>
    <col min="26" max="26" width="9.140625" style="41"/>
    <col min="27" max="27" width="8.42578125" style="41" customWidth="1"/>
    <col min="28" max="28" width="7.85546875" style="41" customWidth="1"/>
    <col min="29" max="29" width="10.5703125" style="41" customWidth="1"/>
    <col min="30" max="30" width="8.28515625" style="41" customWidth="1"/>
    <col min="31" max="31" width="9.7109375" style="41" customWidth="1"/>
    <col min="32" max="32" width="14.42578125" style="41" customWidth="1"/>
    <col min="33" max="33" width="9.140625" style="41"/>
    <col min="34" max="34" width="5.7109375" style="41" hidden="1" customWidth="1"/>
    <col min="35" max="35" width="6.7109375" style="41" hidden="1" customWidth="1"/>
    <col min="36" max="36" width="6.28515625" style="41" hidden="1" customWidth="1"/>
    <col min="37" max="16384" width="9.140625" style="41"/>
  </cols>
  <sheetData>
    <row r="1" spans="2:36" x14ac:dyDescent="0.3">
      <c r="N1" s="1595" t="str">
        <f>ПЕРИОД!D12</f>
        <v>Факултет / катедра / ----</v>
      </c>
      <c r="O1" s="1595"/>
      <c r="P1" s="1595"/>
      <c r="Q1" s="1595"/>
      <c r="R1" s="1595"/>
      <c r="S1" s="1595"/>
      <c r="T1" s="1595"/>
      <c r="U1" s="1595"/>
      <c r="V1" s="1595"/>
      <c r="W1" s="1595"/>
      <c r="X1" s="1595"/>
      <c r="Y1" s="1595"/>
      <c r="Z1" s="1595"/>
      <c r="AA1" s="1595"/>
      <c r="AB1" s="1595"/>
    </row>
    <row r="2" spans="2:36" ht="18.75" x14ac:dyDescent="0.3">
      <c r="N2" s="1596" t="str">
        <f>ПЕРИОД!D17&amp;", ОКС ""бакалавър"" и ОКС ""магистър"" след средно образование"</f>
        <v>Индивидуален отчет, ОКС "бакалавър" и ОКС "магистър" след средно образование</v>
      </c>
      <c r="O2" s="1596"/>
      <c r="P2" s="1596"/>
      <c r="Q2" s="1596"/>
      <c r="R2" s="1596"/>
      <c r="S2" s="1596"/>
      <c r="T2" s="1596"/>
      <c r="U2" s="1596"/>
      <c r="V2" s="1596"/>
      <c r="W2" s="1596"/>
      <c r="X2" s="1596"/>
      <c r="Y2" s="1596"/>
      <c r="Z2" s="1596"/>
      <c r="AA2" s="1596"/>
      <c r="AB2" s="1596"/>
    </row>
    <row r="3" spans="2:36" ht="21" customHeight="1" x14ac:dyDescent="0.3">
      <c r="N3" s="1597" t="s">
        <v>118</v>
      </c>
      <c r="O3" s="1597"/>
      <c r="P3" s="1597"/>
      <c r="Q3" s="1597"/>
      <c r="R3" s="1597"/>
      <c r="S3" s="1597"/>
      <c r="T3" s="1597"/>
      <c r="U3" s="1597"/>
      <c r="V3" s="1597"/>
      <c r="W3" s="1597"/>
      <c r="X3" s="1597"/>
      <c r="Y3" s="1597"/>
      <c r="Z3" s="1597"/>
      <c r="AA3" s="1597"/>
      <c r="AB3" s="1597"/>
    </row>
    <row r="4" spans="2:36" ht="9" customHeight="1" thickBot="1" x14ac:dyDescent="0.35"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2:36" ht="30" customHeight="1" thickBot="1" x14ac:dyDescent="0.35">
      <c r="N5" s="893" t="s">
        <v>1</v>
      </c>
      <c r="O5" s="894" t="s">
        <v>117</v>
      </c>
      <c r="P5" s="895" t="s">
        <v>114</v>
      </c>
      <c r="Q5" s="1608" t="s">
        <v>115</v>
      </c>
      <c r="R5" s="1608"/>
      <c r="S5" s="1608" t="s">
        <v>116</v>
      </c>
      <c r="T5" s="1608"/>
      <c r="U5" s="895" t="s">
        <v>68</v>
      </c>
      <c r="V5" s="1609" t="s">
        <v>69</v>
      </c>
      <c r="W5" s="1609"/>
      <c r="X5" s="1610" t="s">
        <v>151</v>
      </c>
      <c r="Y5" s="1610"/>
      <c r="Z5" s="1609" t="s">
        <v>113</v>
      </c>
      <c r="AA5" s="1609"/>
      <c r="AB5" s="896" t="s">
        <v>119</v>
      </c>
      <c r="AH5" s="41" t="s">
        <v>444</v>
      </c>
      <c r="AI5" s="41" t="s">
        <v>411</v>
      </c>
      <c r="AJ5" s="41" t="s">
        <v>412</v>
      </c>
    </row>
    <row r="6" spans="2:36" s="105" customFormat="1" ht="9.75" customHeight="1" thickBot="1" x14ac:dyDescent="0.35">
      <c r="B6" s="148"/>
      <c r="N6" s="103"/>
      <c r="O6" s="104"/>
      <c r="P6" s="104"/>
      <c r="Q6" s="104"/>
      <c r="R6" s="104"/>
      <c r="S6" s="102"/>
      <c r="T6" s="104"/>
      <c r="U6" s="104"/>
      <c r="V6" s="104"/>
      <c r="W6" s="102"/>
      <c r="X6" s="102"/>
      <c r="Y6" s="104"/>
      <c r="Z6" s="102"/>
      <c r="AA6" s="102"/>
      <c r="AB6" s="104"/>
    </row>
    <row r="7" spans="2:36" ht="30" customHeight="1" x14ac:dyDescent="0.3">
      <c r="N7" s="1605" t="s">
        <v>112</v>
      </c>
      <c r="O7" s="1606"/>
      <c r="P7" s="1606"/>
      <c r="Q7" s="1606"/>
      <c r="R7" s="1606"/>
      <c r="S7" s="1606"/>
      <c r="T7" s="1606"/>
      <c r="U7" s="1606"/>
      <c r="V7" s="1606"/>
      <c r="W7" s="1606"/>
      <c r="X7" s="1606"/>
      <c r="Y7" s="1606"/>
      <c r="Z7" s="1606"/>
      <c r="AA7" s="1606"/>
      <c r="AB7" s="1607"/>
    </row>
    <row r="8" spans="2:36" s="43" customFormat="1" x14ac:dyDescent="0.25">
      <c r="B8" s="57"/>
      <c r="N8" s="1601" t="s">
        <v>481</v>
      </c>
      <c r="O8" s="1602"/>
      <c r="P8" s="1602"/>
      <c r="Q8" s="1602"/>
      <c r="R8" s="1602"/>
      <c r="S8" s="1602"/>
      <c r="T8" s="1602"/>
      <c r="U8" s="1602"/>
      <c r="V8" s="1602"/>
      <c r="W8" s="1602"/>
      <c r="X8" s="1602"/>
      <c r="Y8" s="1602"/>
      <c r="Z8" s="1602"/>
      <c r="AA8" s="1602"/>
      <c r="AB8" s="1603"/>
    </row>
    <row r="9" spans="2:36" s="43" customFormat="1" ht="66.75" customHeight="1" x14ac:dyDescent="0.25">
      <c r="B9" s="57"/>
      <c r="N9" s="1569" t="s">
        <v>678</v>
      </c>
      <c r="O9" s="1604"/>
      <c r="P9" s="1604"/>
      <c r="Q9" s="1604"/>
      <c r="R9" s="1604"/>
      <c r="S9" s="1604"/>
      <c r="T9" s="1604"/>
      <c r="U9" s="1604"/>
      <c r="V9" s="1604"/>
      <c r="W9" s="1604"/>
      <c r="X9" s="1604"/>
      <c r="Y9" s="1604"/>
      <c r="Z9" s="1604"/>
      <c r="AA9" s="1604"/>
      <c r="AB9" s="1571"/>
    </row>
    <row r="10" spans="2:36" s="43" customFormat="1" ht="39" customHeight="1" x14ac:dyDescent="0.25">
      <c r="B10" s="57"/>
      <c r="N10" s="1569" t="s">
        <v>679</v>
      </c>
      <c r="O10" s="1570"/>
      <c r="P10" s="1570"/>
      <c r="Q10" s="1570"/>
      <c r="R10" s="1570"/>
      <c r="S10" s="1570"/>
      <c r="T10" s="1570"/>
      <c r="U10" s="1570"/>
      <c r="V10" s="1570"/>
      <c r="W10" s="1570"/>
      <c r="X10" s="1570"/>
      <c r="Y10" s="1570"/>
      <c r="Z10" s="1570"/>
      <c r="AA10" s="1570"/>
      <c r="AB10" s="1571"/>
    </row>
    <row r="11" spans="2:36" ht="33.75" customHeight="1" x14ac:dyDescent="0.3">
      <c r="N11" s="1601" t="s">
        <v>497</v>
      </c>
      <c r="O11" s="1602"/>
      <c r="P11" s="1602"/>
      <c r="Q11" s="1602"/>
      <c r="R11" s="1602"/>
      <c r="S11" s="1602"/>
      <c r="T11" s="1602"/>
      <c r="U11" s="1602"/>
      <c r="V11" s="1602"/>
      <c r="W11" s="1602"/>
      <c r="X11" s="1602"/>
      <c r="Y11" s="1602"/>
      <c r="Z11" s="1602"/>
      <c r="AA11" s="1602"/>
      <c r="AB11" s="1603"/>
    </row>
    <row r="12" spans="2:36" ht="20.25" customHeight="1" x14ac:dyDescent="0.3">
      <c r="N12" s="1601" t="s">
        <v>523</v>
      </c>
      <c r="O12" s="1602"/>
      <c r="P12" s="1602"/>
      <c r="Q12" s="1602"/>
      <c r="R12" s="1602"/>
      <c r="S12" s="1602"/>
      <c r="T12" s="1602"/>
      <c r="U12" s="1602"/>
      <c r="V12" s="1602"/>
      <c r="W12" s="1602"/>
      <c r="X12" s="1602"/>
      <c r="Y12" s="1602"/>
      <c r="Z12" s="1602"/>
      <c r="AA12" s="1602"/>
      <c r="AB12" s="1603"/>
    </row>
    <row r="13" spans="2:36" x14ac:dyDescent="0.3">
      <c r="N13" s="1601" t="s">
        <v>655</v>
      </c>
      <c r="O13" s="1602"/>
      <c r="P13" s="1602"/>
      <c r="Q13" s="1602"/>
      <c r="R13" s="1602"/>
      <c r="S13" s="1602"/>
      <c r="T13" s="1602"/>
      <c r="U13" s="1602"/>
      <c r="V13" s="1602"/>
      <c r="W13" s="1602"/>
      <c r="X13" s="1602"/>
      <c r="Y13" s="1602"/>
      <c r="Z13" s="1602"/>
      <c r="AA13" s="1602"/>
      <c r="AB13" s="1603"/>
    </row>
    <row r="14" spans="2:36" x14ac:dyDescent="0.3">
      <c r="N14" s="1601" t="s">
        <v>680</v>
      </c>
      <c r="O14" s="1602"/>
      <c r="P14" s="1602"/>
      <c r="Q14" s="1602"/>
      <c r="R14" s="1602"/>
      <c r="S14" s="1602"/>
      <c r="T14" s="1602"/>
      <c r="U14" s="1602"/>
      <c r="V14" s="1602"/>
      <c r="W14" s="1602"/>
      <c r="X14" s="1602"/>
      <c r="Y14" s="1602"/>
      <c r="Z14" s="1602"/>
      <c r="AA14" s="1602"/>
      <c r="AB14" s="1603"/>
    </row>
    <row r="15" spans="2:36" x14ac:dyDescent="0.3">
      <c r="N15" s="1598" t="s">
        <v>520</v>
      </c>
      <c r="O15" s="1599"/>
      <c r="P15" s="1599"/>
      <c r="Q15" s="1599"/>
      <c r="R15" s="1599"/>
      <c r="S15" s="1599"/>
      <c r="T15" s="1599"/>
      <c r="U15" s="1599"/>
      <c r="V15" s="1599"/>
      <c r="W15" s="1599"/>
      <c r="X15" s="1599"/>
      <c r="Y15" s="1599"/>
      <c r="Z15" s="1599"/>
      <c r="AA15" s="1599"/>
      <c r="AB15" s="1600"/>
      <c r="AH15" s="41">
        <v>1</v>
      </c>
      <c r="AI15" s="41">
        <v>-1</v>
      </c>
      <c r="AJ15" s="41">
        <v>-1</v>
      </c>
    </row>
    <row r="16" spans="2:36" x14ac:dyDescent="0.3">
      <c r="N16" s="1598" t="s">
        <v>687</v>
      </c>
      <c r="O16" s="1599"/>
      <c r="P16" s="1599"/>
      <c r="Q16" s="1599"/>
      <c r="R16" s="1599"/>
      <c r="S16" s="1599"/>
      <c r="T16" s="1599"/>
      <c r="U16" s="1599"/>
      <c r="V16" s="1599"/>
      <c r="W16" s="1599"/>
      <c r="X16" s="1599"/>
      <c r="Y16" s="1599"/>
      <c r="Z16" s="1599"/>
      <c r="AA16" s="1599"/>
      <c r="AB16" s="1600"/>
      <c r="AH16" s="41">
        <v>-1</v>
      </c>
      <c r="AI16" s="41">
        <v>1</v>
      </c>
      <c r="AJ16" s="41">
        <v>1</v>
      </c>
    </row>
    <row r="17" spans="2:36" ht="36.75" customHeight="1" x14ac:dyDescent="0.3">
      <c r="N17" s="1569" t="s">
        <v>654</v>
      </c>
      <c r="O17" s="1570"/>
      <c r="P17" s="1570"/>
      <c r="Q17" s="1570"/>
      <c r="R17" s="1570"/>
      <c r="S17" s="1570"/>
      <c r="T17" s="1570"/>
      <c r="U17" s="1570"/>
      <c r="V17" s="1570"/>
      <c r="W17" s="1570"/>
      <c r="X17" s="1570"/>
      <c r="Y17" s="1570"/>
      <c r="Z17" s="1570"/>
      <c r="AA17" s="1570"/>
      <c r="AB17" s="1571"/>
    </row>
    <row r="18" spans="2:36" ht="21.75" customHeight="1" x14ac:dyDescent="0.3">
      <c r="N18" s="1569" t="s">
        <v>656</v>
      </c>
      <c r="O18" s="1570"/>
      <c r="P18" s="1570"/>
      <c r="Q18" s="1570"/>
      <c r="R18" s="1570"/>
      <c r="S18" s="1570"/>
      <c r="T18" s="1570"/>
      <c r="U18" s="1570"/>
      <c r="V18" s="1570"/>
      <c r="W18" s="1570"/>
      <c r="X18" s="1570"/>
      <c r="Y18" s="1570"/>
      <c r="Z18" s="1570"/>
      <c r="AA18" s="1570"/>
      <c r="AB18" s="1571"/>
    </row>
    <row r="19" spans="2:36" ht="20.25" customHeight="1" x14ac:dyDescent="0.3">
      <c r="N19" s="1569" t="s">
        <v>651</v>
      </c>
      <c r="O19" s="1570"/>
      <c r="P19" s="1570"/>
      <c r="Q19" s="1570"/>
      <c r="R19" s="1570"/>
      <c r="S19" s="1570"/>
      <c r="T19" s="1570"/>
      <c r="U19" s="1570"/>
      <c r="V19" s="1570"/>
      <c r="W19" s="1570"/>
      <c r="X19" s="1570"/>
      <c r="Y19" s="1570"/>
      <c r="Z19" s="1570"/>
      <c r="AA19" s="1570"/>
      <c r="AB19" s="1571"/>
    </row>
    <row r="20" spans="2:36" ht="19.5" customHeight="1" x14ac:dyDescent="0.3">
      <c r="N20" s="1569" t="s">
        <v>652</v>
      </c>
      <c r="O20" s="1570"/>
      <c r="P20" s="1570"/>
      <c r="Q20" s="1570"/>
      <c r="R20" s="1570"/>
      <c r="S20" s="1570"/>
      <c r="T20" s="1570"/>
      <c r="U20" s="1570"/>
      <c r="V20" s="1570"/>
      <c r="W20" s="1570"/>
      <c r="X20" s="1570"/>
      <c r="Y20" s="1570"/>
      <c r="Z20" s="1570"/>
      <c r="AA20" s="1570"/>
      <c r="AB20" s="1571"/>
    </row>
    <row r="21" spans="2:36" ht="36.75" customHeight="1" x14ac:dyDescent="0.3">
      <c r="N21" s="1569" t="s">
        <v>653</v>
      </c>
      <c r="O21" s="1570"/>
      <c r="P21" s="1570"/>
      <c r="Q21" s="1570"/>
      <c r="R21" s="1570"/>
      <c r="S21" s="1570"/>
      <c r="T21" s="1570"/>
      <c r="U21" s="1570"/>
      <c r="V21" s="1570"/>
      <c r="W21" s="1570"/>
      <c r="X21" s="1570"/>
      <c r="Y21" s="1570"/>
      <c r="Z21" s="1570"/>
      <c r="AA21" s="1570"/>
      <c r="AB21" s="1571"/>
    </row>
    <row r="22" spans="2:36" ht="36.75" hidden="1" customHeight="1" x14ac:dyDescent="0.3">
      <c r="N22" s="1569" t="s">
        <v>486</v>
      </c>
      <c r="O22" s="1570"/>
      <c r="P22" s="1570"/>
      <c r="Q22" s="1570"/>
      <c r="R22" s="1570"/>
      <c r="S22" s="1570"/>
      <c r="T22" s="1570"/>
      <c r="U22" s="1570"/>
      <c r="V22" s="1570"/>
      <c r="W22" s="1570"/>
      <c r="X22" s="1570"/>
      <c r="Y22" s="1570"/>
      <c r="Z22" s="1570"/>
      <c r="AA22" s="1570"/>
      <c r="AB22" s="1571"/>
    </row>
    <row r="23" spans="2:36" ht="36.75" customHeight="1" x14ac:dyDescent="0.3">
      <c r="N23" s="1569" t="s">
        <v>767</v>
      </c>
      <c r="O23" s="1570"/>
      <c r="P23" s="1570"/>
      <c r="Q23" s="1570"/>
      <c r="R23" s="1570"/>
      <c r="S23" s="1570"/>
      <c r="T23" s="1570"/>
      <c r="U23" s="1570"/>
      <c r="V23" s="1570"/>
      <c r="W23" s="1570"/>
      <c r="X23" s="1570"/>
      <c r="Y23" s="1570"/>
      <c r="Z23" s="1570"/>
      <c r="AA23" s="1570"/>
      <c r="AB23" s="1571"/>
    </row>
    <row r="24" spans="2:36" ht="67.5" customHeight="1" thickBot="1" x14ac:dyDescent="0.35">
      <c r="N24" s="1572" t="s">
        <v>686</v>
      </c>
      <c r="O24" s="1573"/>
      <c r="P24" s="1573"/>
      <c r="Q24" s="1573"/>
      <c r="R24" s="1573"/>
      <c r="S24" s="1573"/>
      <c r="T24" s="1573"/>
      <c r="U24" s="1573"/>
      <c r="V24" s="1573"/>
      <c r="W24" s="1573"/>
      <c r="X24" s="1573"/>
      <c r="Y24" s="1573"/>
      <c r="Z24" s="1573"/>
      <c r="AA24" s="1573"/>
      <c r="AB24" s="1574"/>
    </row>
    <row r="25" spans="2:36" ht="9.9499999999999993" hidden="1" customHeight="1" x14ac:dyDescent="0.3">
      <c r="B25" s="224" t="s">
        <v>416</v>
      </c>
      <c r="L25" s="41" t="s">
        <v>411</v>
      </c>
      <c r="M25" s="41" t="b">
        <f>ПЕРИОД!D10="Зимен"</f>
        <v>0</v>
      </c>
    </row>
    <row r="26" spans="2:36" ht="26.25" hidden="1" x14ac:dyDescent="0.3">
      <c r="B26" s="216" t="s">
        <v>420</v>
      </c>
      <c r="M26" s="41" t="str">
        <f>IF(M25,1,"1.1")</f>
        <v>1.1</v>
      </c>
      <c r="N26" s="1538" t="str">
        <f>M26&amp;". ОКС ""бакалавър"" и ""магистър"" след средно образование – аудиторна заетост и изпитани студенти – ЗИМЕН семестър"</f>
        <v>1.1. ОКС "бакалавър" и "магистър" след средно образование – аудиторна заетост и изпитани студенти – ЗИМЕН семестър</v>
      </c>
      <c r="O26" s="1539"/>
      <c r="P26" s="1539"/>
      <c r="Q26" s="1539"/>
      <c r="R26" s="1539"/>
      <c r="S26" s="1539"/>
      <c r="T26" s="1539"/>
      <c r="U26" s="1539"/>
      <c r="V26" s="1539"/>
      <c r="W26" s="1539"/>
      <c r="X26" s="1539"/>
      <c r="Y26" s="1539"/>
      <c r="Z26" s="1539"/>
      <c r="AA26" s="1539"/>
      <c r="AB26" s="1540"/>
      <c r="AC26" s="289"/>
      <c r="AJ26" s="121">
        <v>-1</v>
      </c>
    </row>
    <row r="27" spans="2:36" ht="21" hidden="1" thickBot="1" x14ac:dyDescent="0.35">
      <c r="B27" s="131" t="s">
        <v>477</v>
      </c>
      <c r="N27" s="1592" t="s">
        <v>803</v>
      </c>
      <c r="O27" s="1593"/>
      <c r="P27" s="1593"/>
      <c r="Q27" s="1593"/>
      <c r="R27" s="1593"/>
      <c r="S27" s="1593"/>
      <c r="T27" s="1593"/>
      <c r="U27" s="1593"/>
      <c r="V27" s="1593"/>
      <c r="W27" s="1593"/>
      <c r="X27" s="1593"/>
      <c r="Y27" s="1593"/>
      <c r="Z27" s="1593"/>
      <c r="AA27" s="1593"/>
      <c r="AB27" s="1594"/>
      <c r="AJ27" s="121">
        <v>-1</v>
      </c>
    </row>
    <row r="28" spans="2:36" ht="20.100000000000001" hidden="1" customHeight="1" thickBot="1" x14ac:dyDescent="0.35">
      <c r="B28" s="131" t="s">
        <v>418</v>
      </c>
      <c r="C28" s="123"/>
      <c r="D28" s="123"/>
      <c r="E28" s="123"/>
      <c r="F28" s="123"/>
      <c r="G28" s="123"/>
      <c r="H28" s="123"/>
      <c r="I28" s="121"/>
      <c r="J28" s="121"/>
      <c r="L28" s="123"/>
      <c r="M28" s="123"/>
      <c r="N28" s="1550" t="s">
        <v>16</v>
      </c>
      <c r="O28" s="1552" t="s">
        <v>473</v>
      </c>
      <c r="P28" s="1561" t="s">
        <v>18</v>
      </c>
      <c r="Q28" s="1550" t="s">
        <v>19</v>
      </c>
      <c r="R28" s="1552" t="s">
        <v>20</v>
      </c>
      <c r="S28" s="1552" t="s">
        <v>569</v>
      </c>
      <c r="T28" s="1555" t="s">
        <v>508</v>
      </c>
      <c r="U28" s="1558" t="str">
        <f>IF(ПЕРИОД!D10="План","Възложени часове","Проведени часове")</f>
        <v>Проведени часове</v>
      </c>
      <c r="V28" s="1522"/>
      <c r="W28" s="1550" t="s">
        <v>21</v>
      </c>
      <c r="X28" s="1584" t="s">
        <v>474</v>
      </c>
      <c r="Y28" s="1585" t="s">
        <v>312</v>
      </c>
      <c r="Z28" s="1557" t="s">
        <v>335</v>
      </c>
      <c r="AA28" s="1552"/>
      <c r="AB28" s="1555"/>
      <c r="AJ28" s="121">
        <v>-1</v>
      </c>
    </row>
    <row r="29" spans="2:36" ht="26.25" hidden="1" thickBot="1" x14ac:dyDescent="0.35">
      <c r="B29" s="131" t="s">
        <v>419</v>
      </c>
      <c r="C29" s="1566" t="s">
        <v>316</v>
      </c>
      <c r="D29" s="1567"/>
      <c r="E29" s="1567"/>
      <c r="F29" s="1566" t="s">
        <v>313</v>
      </c>
      <c r="G29" s="1567"/>
      <c r="H29" s="1567"/>
      <c r="I29" s="1568"/>
      <c r="J29" s="1567" t="s">
        <v>339</v>
      </c>
      <c r="K29" s="1567"/>
      <c r="L29" s="1567"/>
      <c r="M29" s="1567"/>
      <c r="N29" s="1551"/>
      <c r="O29" s="1553"/>
      <c r="P29" s="1562"/>
      <c r="Q29" s="1551"/>
      <c r="R29" s="1553"/>
      <c r="S29" s="1553"/>
      <c r="T29" s="1556"/>
      <c r="U29" s="284" t="s">
        <v>329</v>
      </c>
      <c r="V29" s="285" t="s">
        <v>393</v>
      </c>
      <c r="W29" s="1551"/>
      <c r="X29" s="1589"/>
      <c r="Y29" s="1617"/>
      <c r="Z29" s="286" t="s">
        <v>330</v>
      </c>
      <c r="AA29" s="272" t="s">
        <v>331</v>
      </c>
      <c r="AB29" s="273" t="s">
        <v>394</v>
      </c>
      <c r="AJ29" s="121">
        <v>-1</v>
      </c>
    </row>
    <row r="30" spans="2:36" s="44" customFormat="1" ht="21" hidden="1" thickBot="1" x14ac:dyDescent="0.25">
      <c r="B30" s="131" t="s">
        <v>425</v>
      </c>
      <c r="C30" s="152" t="s">
        <v>317</v>
      </c>
      <c r="D30" s="153" t="s">
        <v>318</v>
      </c>
      <c r="E30" s="153" t="s">
        <v>338</v>
      </c>
      <c r="F30" s="152" t="s">
        <v>314</v>
      </c>
      <c r="G30" s="153" t="s">
        <v>423</v>
      </c>
      <c r="H30" s="153" t="s">
        <v>396</v>
      </c>
      <c r="I30" s="885" t="s">
        <v>336</v>
      </c>
      <c r="J30" s="153" t="s">
        <v>341</v>
      </c>
      <c r="K30" s="153" t="s">
        <v>340</v>
      </c>
      <c r="L30" s="153" t="s">
        <v>392</v>
      </c>
      <c r="M30" s="887" t="s">
        <v>337</v>
      </c>
      <c r="N30" s="238" t="s">
        <v>16</v>
      </c>
      <c r="O30" s="239" t="s">
        <v>17</v>
      </c>
      <c r="P30" s="239" t="s">
        <v>18</v>
      </c>
      <c r="Q30" s="238" t="s">
        <v>19</v>
      </c>
      <c r="R30" s="239" t="s">
        <v>20</v>
      </c>
      <c r="S30" s="239" t="s">
        <v>630</v>
      </c>
      <c r="T30" s="240" t="s">
        <v>628</v>
      </c>
      <c r="U30" s="239" t="s">
        <v>334</v>
      </c>
      <c r="V30" s="240" t="s">
        <v>342</v>
      </c>
      <c r="W30" s="239" t="s">
        <v>21</v>
      </c>
      <c r="X30" s="239" t="s">
        <v>631</v>
      </c>
      <c r="Y30" s="239" t="s">
        <v>333</v>
      </c>
      <c r="Z30" s="238" t="s">
        <v>330</v>
      </c>
      <c r="AA30" s="239" t="s">
        <v>86</v>
      </c>
      <c r="AB30" s="240" t="s">
        <v>332</v>
      </c>
      <c r="AJ30" s="570">
        <v>-1</v>
      </c>
    </row>
    <row r="31" spans="2:36" s="47" customFormat="1" hidden="1" x14ac:dyDescent="0.3">
      <c r="B31" s="294">
        <f t="shared" ref="B31:B49" si="0">N(B30)+1</f>
        <v>1</v>
      </c>
      <c r="C31" s="135">
        <f>AND(LEN(BAZZS[[#This Row],[Дисциплина]]&amp;BAZZS[[#This Row],[Специалност]]&amp;BAZZS[[#This Row],[Факултет]])&gt;0,LEN(BAZZS[[#This Row],[Вид]])=0)*1</f>
        <v>0</v>
      </c>
      <c r="D31" s="135">
        <f>IF(AND(BAZZS[[#This Row],[Дисциплина]]&lt;&gt;0,OR(BAZZS[[#This Row],[Лекции]]&lt;&gt;0,BAZZS[[#This Row],[Упражнения]]&lt;&gt;0),BAZZS[[#This Row],[Студенти]]=0),1,0)</f>
        <v>0</v>
      </c>
      <c r="E31" s="135">
        <f>IF(AND(BAZZS[[#This Row],[Изпитани]]&lt;&gt;0,BAZZS[[#This Row],[Изпитващ]]=0),1,0)</f>
        <v>0</v>
      </c>
      <c r="F31" s="136">
        <f>IFERROR(VLOOKUP(BAZZS[[#This Row],[Език]],Коефициент_Eзик[],2,0),0)</f>
        <v>1</v>
      </c>
      <c r="G31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1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1" s="886">
        <f>IFERROR(IF(BAZZS[[#This Row],[ФормаОб]]=list!$A$55,Coef!$B$10,Coef!$B$9),0)</f>
        <v>0.5</v>
      </c>
      <c r="J31" s="135">
        <f>N(BAZZS[[#This Row],[Лекции]])*BAZZS[[#This Row],[кЕзик]]*BAZZS[[#This Row],[кСтуденти]]*кЛекции</f>
        <v>0</v>
      </c>
      <c r="K31" s="135">
        <f>N(BAZZS[[#This Row],[Упражнения]])*BAZZS[[#This Row],[кЕзик]]*BAZZS[[#This Row],[кСтуденти]]*кУпражнение</f>
        <v>0</v>
      </c>
      <c r="L31" s="135">
        <f>N(BAZZS[[#This Row],[Изпитани]])*BAZZS[[#This Row],[кИзпитващ]]</f>
        <v>0</v>
      </c>
      <c r="M31" s="869">
        <f>BAZZS[[#This Row],[ТО]]*BAZZS[[#This Row],[кTO]]</f>
        <v>0</v>
      </c>
      <c r="N31" s="677"/>
      <c r="O31" s="678"/>
      <c r="P31" s="678"/>
      <c r="Q31" s="679"/>
      <c r="R31" s="680"/>
      <c r="S31" s="681"/>
      <c r="T31" s="649"/>
      <c r="U31" s="295"/>
      <c r="V31" s="298"/>
      <c r="W31" s="688" t="s">
        <v>84</v>
      </c>
      <c r="X31" s="684"/>
      <c r="Y31" s="684"/>
      <c r="Z31" s="296"/>
      <c r="AA31" s="299"/>
      <c r="AB31" s="300"/>
      <c r="AJ31" s="47">
        <v>-1</v>
      </c>
    </row>
    <row r="32" spans="2:36" s="47" customFormat="1" hidden="1" x14ac:dyDescent="0.3">
      <c r="B32" s="294">
        <f t="shared" si="0"/>
        <v>2</v>
      </c>
      <c r="C32" s="135">
        <f>AND(LEN(BAZZS[[#This Row],[Дисциплина]]&amp;BAZZS[[#This Row],[Специалност]]&amp;BAZZS[[#This Row],[Факултет]])&gt;0,LEN(BAZZS[[#This Row],[Вид]])=0)*1</f>
        <v>0</v>
      </c>
      <c r="D32" s="135">
        <f>IF(AND(BAZZS[[#This Row],[Дисциплина]]&lt;&gt;0,OR(BAZZS[[#This Row],[Лекции]]&lt;&gt;0,BAZZS[[#This Row],[Упражнения]]&lt;&gt;0),BAZZS[[#This Row],[Студенти]]=0),1,0)</f>
        <v>0</v>
      </c>
      <c r="E32" s="135">
        <f>IF(AND(BAZZS[[#This Row],[Изпитани]]&lt;&gt;0,BAZZS[[#This Row],[Изпитващ]]=0),1,0)</f>
        <v>0</v>
      </c>
      <c r="F32" s="136">
        <f>IFERROR(VLOOKUP(BAZZS[[#This Row],[Език]],Коефициент_Eзик[],2,0),0)</f>
        <v>1</v>
      </c>
      <c r="G32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2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2" s="886">
        <f>IFERROR(IF(BAZZS[[#This Row],[ФормаОб]]=list!$A$55,Coef!$B$10,Coef!$B$9),0)</f>
        <v>0.5</v>
      </c>
      <c r="J32" s="135">
        <f>N(BAZZS[[#This Row],[Лекции]])*BAZZS[[#This Row],[кЕзик]]*BAZZS[[#This Row],[кСтуденти]]*кЛекции</f>
        <v>0</v>
      </c>
      <c r="K32" s="135">
        <f>N(BAZZS[[#This Row],[Упражнения]])*BAZZS[[#This Row],[кЕзик]]*BAZZS[[#This Row],[кСтуденти]]*кУпражнение</f>
        <v>0</v>
      </c>
      <c r="L32" s="135">
        <f>N(BAZZS[[#This Row],[Изпитани]])*BAZZS[[#This Row],[кИзпитващ]]</f>
        <v>0</v>
      </c>
      <c r="M32" s="869">
        <f>BAZZS[[#This Row],[ТО]]*BAZZS[[#This Row],[кTO]]</f>
        <v>0</v>
      </c>
      <c r="N32" s="677"/>
      <c r="O32" s="678"/>
      <c r="P32" s="678"/>
      <c r="Q32" s="682"/>
      <c r="R32" s="683"/>
      <c r="S32" s="684"/>
      <c r="T32" s="297"/>
      <c r="U32" s="295"/>
      <c r="V32" s="298"/>
      <c r="W32" s="688" t="s">
        <v>84</v>
      </c>
      <c r="X32" s="684"/>
      <c r="Y32" s="689"/>
      <c r="Z32" s="296"/>
      <c r="AA32" s="299"/>
      <c r="AB32" s="300"/>
      <c r="AJ32" s="47">
        <v>-1</v>
      </c>
    </row>
    <row r="33" spans="2:36" s="47" customFormat="1" hidden="1" x14ac:dyDescent="0.3">
      <c r="B33" s="294">
        <f t="shared" si="0"/>
        <v>3</v>
      </c>
      <c r="C33" s="135">
        <f>AND(LEN(BAZZS[[#This Row],[Дисциплина]]&amp;BAZZS[[#This Row],[Специалност]]&amp;BAZZS[[#This Row],[Факултет]])&gt;0,LEN(BAZZS[[#This Row],[Вид]])=0)*1</f>
        <v>0</v>
      </c>
      <c r="D33" s="135">
        <f>IF(AND(BAZZS[[#This Row],[Дисциплина]]&lt;&gt;0,OR(BAZZS[[#This Row],[Лекции]]&lt;&gt;0,BAZZS[[#This Row],[Упражнения]]&lt;&gt;0),BAZZS[[#This Row],[Студенти]]=0),1,0)</f>
        <v>0</v>
      </c>
      <c r="E33" s="135">
        <f>IF(AND(BAZZS[[#This Row],[Изпитани]]&lt;&gt;0,BAZZS[[#This Row],[Изпитващ]]=0),1,0)</f>
        <v>0</v>
      </c>
      <c r="F33" s="136">
        <f>IFERROR(VLOOKUP(BAZZS[[#This Row],[Език]],Коефициент_Eзик[],2,0),0)</f>
        <v>1</v>
      </c>
      <c r="G33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3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3" s="886">
        <f>IFERROR(IF(BAZZS[[#This Row],[ФормаОб]]=list!$A$55,Coef!$B$10,Coef!$B$9),0)</f>
        <v>0.5</v>
      </c>
      <c r="J33" s="135">
        <f>N(BAZZS[[#This Row],[Лекции]])*BAZZS[[#This Row],[кЕзик]]*BAZZS[[#This Row],[кСтуденти]]*кЛекции</f>
        <v>0</v>
      </c>
      <c r="K33" s="135">
        <f>N(BAZZS[[#This Row],[Упражнения]])*BAZZS[[#This Row],[кЕзик]]*BAZZS[[#This Row],[кСтуденти]]*кУпражнение</f>
        <v>0</v>
      </c>
      <c r="L33" s="135">
        <f>N(BAZZS[[#This Row],[Изпитани]])*BAZZS[[#This Row],[кИзпитващ]]</f>
        <v>0</v>
      </c>
      <c r="M33" s="869">
        <f>BAZZS[[#This Row],[ТО]]*BAZZS[[#This Row],[кTO]]</f>
        <v>0</v>
      </c>
      <c r="N33" s="677"/>
      <c r="O33" s="678"/>
      <c r="P33" s="678"/>
      <c r="Q33" s="682"/>
      <c r="R33" s="683"/>
      <c r="S33" s="684"/>
      <c r="T33" s="297"/>
      <c r="U33" s="295"/>
      <c r="V33" s="298"/>
      <c r="W33" s="688" t="s">
        <v>84</v>
      </c>
      <c r="X33" s="684"/>
      <c r="Y33" s="684"/>
      <c r="Z33" s="296"/>
      <c r="AA33" s="299"/>
      <c r="AB33" s="300"/>
      <c r="AJ33" s="47">
        <v>-1</v>
      </c>
    </row>
    <row r="34" spans="2:36" s="47" customFormat="1" hidden="1" x14ac:dyDescent="0.3">
      <c r="B34" s="294">
        <f t="shared" si="0"/>
        <v>4</v>
      </c>
      <c r="C34" s="135">
        <f>AND(LEN(BAZZS[[#This Row],[Дисциплина]]&amp;BAZZS[[#This Row],[Специалност]]&amp;BAZZS[[#This Row],[Факултет]])&gt;0,LEN(BAZZS[[#This Row],[Вид]])=0)*1</f>
        <v>0</v>
      </c>
      <c r="D34" s="135">
        <f>IF(AND(BAZZS[[#This Row],[Дисциплина]]&lt;&gt;0,OR(BAZZS[[#This Row],[Лекции]]&lt;&gt;0,BAZZS[[#This Row],[Упражнения]]&lt;&gt;0),BAZZS[[#This Row],[Студенти]]=0),1,0)</f>
        <v>0</v>
      </c>
      <c r="E34" s="135">
        <f>IF(AND(BAZZS[[#This Row],[Изпитани]]&lt;&gt;0,BAZZS[[#This Row],[Изпитващ]]=0),1,0)</f>
        <v>0</v>
      </c>
      <c r="F34" s="136">
        <f>IFERROR(VLOOKUP(BAZZS[[#This Row],[Език]],Коефициент_Eзик[],2,0),0)</f>
        <v>1</v>
      </c>
      <c r="G34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4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4" s="886">
        <f>IFERROR(IF(BAZZS[[#This Row],[ФормаОб]]=list!$A$55,Coef!$B$10,Coef!$B$9),0)</f>
        <v>0.5</v>
      </c>
      <c r="J34" s="135">
        <f>N(BAZZS[[#This Row],[Лекции]])*BAZZS[[#This Row],[кЕзик]]*BAZZS[[#This Row],[кСтуденти]]*кЛекции</f>
        <v>0</v>
      </c>
      <c r="K34" s="135">
        <f>N(BAZZS[[#This Row],[Упражнения]])*BAZZS[[#This Row],[кЕзик]]*BAZZS[[#This Row],[кСтуденти]]*кУпражнение</f>
        <v>0</v>
      </c>
      <c r="L34" s="135">
        <f>N(BAZZS[[#This Row],[Изпитани]])*BAZZS[[#This Row],[кИзпитващ]]</f>
        <v>0</v>
      </c>
      <c r="M34" s="869">
        <f>BAZZS[[#This Row],[ТО]]*BAZZS[[#This Row],[кTO]]</f>
        <v>0</v>
      </c>
      <c r="N34" s="677"/>
      <c r="O34" s="678"/>
      <c r="P34" s="678"/>
      <c r="Q34" s="682"/>
      <c r="R34" s="683"/>
      <c r="S34" s="684"/>
      <c r="T34" s="297"/>
      <c r="U34" s="295"/>
      <c r="V34" s="298"/>
      <c r="W34" s="688" t="s">
        <v>84</v>
      </c>
      <c r="X34" s="684"/>
      <c r="Y34" s="689"/>
      <c r="Z34" s="296"/>
      <c r="AA34" s="299"/>
      <c r="AB34" s="300"/>
      <c r="AF34"/>
      <c r="AG34"/>
      <c r="AJ34" s="47">
        <v>-1</v>
      </c>
    </row>
    <row r="35" spans="2:36" s="47" customFormat="1" hidden="1" x14ac:dyDescent="0.3">
      <c r="B35" s="294">
        <f t="shared" si="0"/>
        <v>5</v>
      </c>
      <c r="C35" s="135">
        <f>AND(LEN(BAZZS[[#This Row],[Дисциплина]]&amp;BAZZS[[#This Row],[Специалност]]&amp;BAZZS[[#This Row],[Факултет]])&gt;0,LEN(BAZZS[[#This Row],[Вид]])=0)*1</f>
        <v>0</v>
      </c>
      <c r="D35" s="135">
        <f>IF(AND(BAZZS[[#This Row],[Дисциплина]]&lt;&gt;0,OR(BAZZS[[#This Row],[Лекции]]&lt;&gt;0,BAZZS[[#This Row],[Упражнения]]&lt;&gt;0),BAZZS[[#This Row],[Студенти]]=0),1,0)</f>
        <v>0</v>
      </c>
      <c r="E35" s="135">
        <f>IF(AND(BAZZS[[#This Row],[Изпитани]]&lt;&gt;0,BAZZS[[#This Row],[Изпитващ]]=0),1,0)</f>
        <v>0</v>
      </c>
      <c r="F35" s="136">
        <f>IFERROR(VLOOKUP(BAZZS[[#This Row],[Език]],Коефициент_Eзик[],2,0),0)</f>
        <v>1</v>
      </c>
      <c r="G35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5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5" s="886">
        <f>IFERROR(IF(BAZZS[[#This Row],[ФормаОб]]=list!$A$55,Coef!$B$10,Coef!$B$9),0)</f>
        <v>0.5</v>
      </c>
      <c r="J35" s="135">
        <f>N(BAZZS[[#This Row],[Лекции]])*BAZZS[[#This Row],[кЕзик]]*BAZZS[[#This Row],[кСтуденти]]*кЛекции</f>
        <v>0</v>
      </c>
      <c r="K35" s="135">
        <f>N(BAZZS[[#This Row],[Упражнения]])*BAZZS[[#This Row],[кЕзик]]*BAZZS[[#This Row],[кСтуденти]]*кУпражнение</f>
        <v>0</v>
      </c>
      <c r="L35" s="135">
        <f>N(BAZZS[[#This Row],[Изпитани]])*BAZZS[[#This Row],[кИзпитващ]]</f>
        <v>0</v>
      </c>
      <c r="M35" s="869">
        <f>BAZZS[[#This Row],[ТО]]*BAZZS[[#This Row],[кTO]]</f>
        <v>0</v>
      </c>
      <c r="N35" s="677"/>
      <c r="O35" s="678"/>
      <c r="P35" s="678"/>
      <c r="Q35" s="682"/>
      <c r="R35" s="683"/>
      <c r="S35" s="684"/>
      <c r="T35" s="297"/>
      <c r="U35" s="295"/>
      <c r="V35" s="298"/>
      <c r="W35" s="688" t="s">
        <v>84</v>
      </c>
      <c r="X35" s="684"/>
      <c r="Y35" s="684"/>
      <c r="Z35" s="296"/>
      <c r="AA35" s="299"/>
      <c r="AB35" s="300"/>
      <c r="AF35"/>
      <c r="AG35"/>
      <c r="AJ35" s="47">
        <v>-1</v>
      </c>
    </row>
    <row r="36" spans="2:36" s="47" customFormat="1" hidden="1" x14ac:dyDescent="0.3">
      <c r="B36" s="294">
        <f t="shared" si="0"/>
        <v>6</v>
      </c>
      <c r="C36" s="135">
        <f>AND(LEN(BAZZS[[#This Row],[Дисциплина]]&amp;BAZZS[[#This Row],[Специалност]]&amp;BAZZS[[#This Row],[Факултет]])&gt;0,LEN(BAZZS[[#This Row],[Вид]])=0)*1</f>
        <v>0</v>
      </c>
      <c r="D36" s="135">
        <f>IF(AND(BAZZS[[#This Row],[Дисциплина]]&lt;&gt;0,OR(BAZZS[[#This Row],[Лекции]]&lt;&gt;0,BAZZS[[#This Row],[Упражнения]]&lt;&gt;0),BAZZS[[#This Row],[Студенти]]=0),1,0)</f>
        <v>0</v>
      </c>
      <c r="E36" s="135">
        <f>IF(AND(BAZZS[[#This Row],[Изпитани]]&lt;&gt;0,BAZZS[[#This Row],[Изпитващ]]=0),1,0)</f>
        <v>0</v>
      </c>
      <c r="F36" s="136">
        <f>IFERROR(VLOOKUP(BAZZS[[#This Row],[Език]],Коефициент_Eзик[],2,0),0)</f>
        <v>1</v>
      </c>
      <c r="G36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6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6" s="886">
        <f>IFERROR(IF(BAZZS[[#This Row],[ФормаОб]]=list!$A$55,Coef!$B$10,Coef!$B$9),0)</f>
        <v>0.5</v>
      </c>
      <c r="J36" s="135">
        <f>N(BAZZS[[#This Row],[Лекции]])*BAZZS[[#This Row],[кЕзик]]*BAZZS[[#This Row],[кСтуденти]]*кЛекции</f>
        <v>0</v>
      </c>
      <c r="K36" s="135">
        <f>N(BAZZS[[#This Row],[Упражнения]])*BAZZS[[#This Row],[кЕзик]]*BAZZS[[#This Row],[кСтуденти]]*кУпражнение</f>
        <v>0</v>
      </c>
      <c r="L36" s="135">
        <f>N(BAZZS[[#This Row],[Изпитани]])*BAZZS[[#This Row],[кИзпитващ]]</f>
        <v>0</v>
      </c>
      <c r="M36" s="869">
        <f>BAZZS[[#This Row],[ТО]]*BAZZS[[#This Row],[кTO]]</f>
        <v>0</v>
      </c>
      <c r="N36" s="677"/>
      <c r="O36" s="678"/>
      <c r="P36" s="678"/>
      <c r="Q36" s="682"/>
      <c r="R36" s="683"/>
      <c r="S36" s="684"/>
      <c r="T36" s="297"/>
      <c r="U36" s="295"/>
      <c r="V36" s="298"/>
      <c r="W36" s="688" t="s">
        <v>84</v>
      </c>
      <c r="X36" s="684"/>
      <c r="Y36" s="689"/>
      <c r="Z36" s="296"/>
      <c r="AA36" s="299"/>
      <c r="AB36" s="300"/>
      <c r="AF36"/>
      <c r="AG36"/>
      <c r="AJ36" s="47">
        <v>-1</v>
      </c>
    </row>
    <row r="37" spans="2:36" s="47" customFormat="1" hidden="1" x14ac:dyDescent="0.3">
      <c r="B37" s="294">
        <f t="shared" si="0"/>
        <v>7</v>
      </c>
      <c r="C37" s="135">
        <f>AND(LEN(BAZZS[[#This Row],[Дисциплина]]&amp;BAZZS[[#This Row],[Специалност]]&amp;BAZZS[[#This Row],[Факултет]])&gt;0,LEN(BAZZS[[#This Row],[Вид]])=0)*1</f>
        <v>0</v>
      </c>
      <c r="D37" s="135">
        <f>IF(AND(BAZZS[[#This Row],[Дисциплина]]&lt;&gt;0,OR(BAZZS[[#This Row],[Лекции]]&lt;&gt;0,BAZZS[[#This Row],[Упражнения]]&lt;&gt;0),BAZZS[[#This Row],[Студенти]]=0),1,0)</f>
        <v>0</v>
      </c>
      <c r="E37" s="135">
        <f>IF(AND(BAZZS[[#This Row],[Изпитани]]&lt;&gt;0,BAZZS[[#This Row],[Изпитващ]]=0),1,0)</f>
        <v>0</v>
      </c>
      <c r="F37" s="136">
        <f>IFERROR(VLOOKUP(BAZZS[[#This Row],[Език]],Коефициент_Eзик[],2,0),0)</f>
        <v>1</v>
      </c>
      <c r="G37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7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7" s="886">
        <f>IFERROR(IF(BAZZS[[#This Row],[ФормаОб]]=list!$A$55,Coef!$B$10,Coef!$B$9),0)</f>
        <v>0.5</v>
      </c>
      <c r="J37" s="135">
        <f>N(BAZZS[[#This Row],[Лекции]])*BAZZS[[#This Row],[кЕзик]]*BAZZS[[#This Row],[кСтуденти]]*кЛекции</f>
        <v>0</v>
      </c>
      <c r="K37" s="135">
        <f>N(BAZZS[[#This Row],[Упражнения]])*BAZZS[[#This Row],[кЕзик]]*BAZZS[[#This Row],[кСтуденти]]*кУпражнение</f>
        <v>0</v>
      </c>
      <c r="L37" s="135">
        <f>N(BAZZS[[#This Row],[Изпитани]])*BAZZS[[#This Row],[кИзпитващ]]</f>
        <v>0</v>
      </c>
      <c r="M37" s="869">
        <f>BAZZS[[#This Row],[ТО]]*BAZZS[[#This Row],[кTO]]</f>
        <v>0</v>
      </c>
      <c r="N37" s="677"/>
      <c r="O37" s="678"/>
      <c r="P37" s="678"/>
      <c r="Q37" s="682"/>
      <c r="R37" s="683"/>
      <c r="S37" s="684"/>
      <c r="T37" s="297"/>
      <c r="U37" s="295"/>
      <c r="V37" s="298"/>
      <c r="W37" s="688" t="s">
        <v>84</v>
      </c>
      <c r="X37" s="684"/>
      <c r="Y37" s="684"/>
      <c r="Z37" s="296"/>
      <c r="AA37" s="299"/>
      <c r="AB37" s="300"/>
      <c r="AF37"/>
      <c r="AG37"/>
      <c r="AJ37" s="47">
        <v>-1</v>
      </c>
    </row>
    <row r="38" spans="2:36" s="47" customFormat="1" hidden="1" x14ac:dyDescent="0.3">
      <c r="B38" s="294">
        <f t="shared" si="0"/>
        <v>8</v>
      </c>
      <c r="C38" s="135">
        <f>AND(LEN(BAZZS[[#This Row],[Дисциплина]]&amp;BAZZS[[#This Row],[Специалност]]&amp;BAZZS[[#This Row],[Факултет]])&gt;0,LEN(BAZZS[[#This Row],[Вид]])=0)*1</f>
        <v>0</v>
      </c>
      <c r="D38" s="135">
        <f>IF(AND(BAZZS[[#This Row],[Дисциплина]]&lt;&gt;0,OR(BAZZS[[#This Row],[Лекции]]&lt;&gt;0,BAZZS[[#This Row],[Упражнения]]&lt;&gt;0),BAZZS[[#This Row],[Студенти]]=0),1,0)</f>
        <v>0</v>
      </c>
      <c r="E38" s="135">
        <f>IF(AND(BAZZS[[#This Row],[Изпитани]]&lt;&gt;0,BAZZS[[#This Row],[Изпитващ]]=0),1,0)</f>
        <v>0</v>
      </c>
      <c r="F38" s="136">
        <f>IFERROR(VLOOKUP(BAZZS[[#This Row],[Език]],Коефициент_Eзик[],2,0),0)</f>
        <v>1</v>
      </c>
      <c r="G38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8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8" s="886">
        <f>IFERROR(IF(BAZZS[[#This Row],[ФормаОб]]=list!$A$55,Coef!$B$10,Coef!$B$9),0)</f>
        <v>0.5</v>
      </c>
      <c r="J38" s="135">
        <f>N(BAZZS[[#This Row],[Лекции]])*BAZZS[[#This Row],[кЕзик]]*BAZZS[[#This Row],[кСтуденти]]*кЛекции</f>
        <v>0</v>
      </c>
      <c r="K38" s="135">
        <f>N(BAZZS[[#This Row],[Упражнения]])*BAZZS[[#This Row],[кЕзик]]*BAZZS[[#This Row],[кСтуденти]]*кУпражнение</f>
        <v>0</v>
      </c>
      <c r="L38" s="135">
        <f>N(BAZZS[[#This Row],[Изпитани]])*BAZZS[[#This Row],[кИзпитващ]]</f>
        <v>0</v>
      </c>
      <c r="M38" s="869">
        <f>BAZZS[[#This Row],[ТО]]*BAZZS[[#This Row],[кTO]]</f>
        <v>0</v>
      </c>
      <c r="N38" s="677"/>
      <c r="O38" s="678"/>
      <c r="P38" s="678"/>
      <c r="Q38" s="682"/>
      <c r="R38" s="683"/>
      <c r="S38" s="684"/>
      <c r="T38" s="297"/>
      <c r="U38" s="295"/>
      <c r="V38" s="298"/>
      <c r="W38" s="688" t="s">
        <v>84</v>
      </c>
      <c r="X38" s="684"/>
      <c r="Y38" s="689"/>
      <c r="Z38" s="296"/>
      <c r="AA38" s="299"/>
      <c r="AB38" s="300"/>
      <c r="AF38"/>
      <c r="AG38"/>
      <c r="AJ38" s="47">
        <v>-1</v>
      </c>
    </row>
    <row r="39" spans="2:36" s="47" customFormat="1" hidden="1" x14ac:dyDescent="0.3">
      <c r="B39" s="294">
        <f t="shared" si="0"/>
        <v>9</v>
      </c>
      <c r="C39" s="135">
        <f>AND(LEN(BAZZS[[#This Row],[Дисциплина]]&amp;BAZZS[[#This Row],[Специалност]]&amp;BAZZS[[#This Row],[Факултет]])&gt;0,LEN(BAZZS[[#This Row],[Вид]])=0)*1</f>
        <v>0</v>
      </c>
      <c r="D39" s="135">
        <f>IF(AND(BAZZS[[#This Row],[Дисциплина]]&lt;&gt;0,OR(BAZZS[[#This Row],[Лекции]]&lt;&gt;0,BAZZS[[#This Row],[Упражнения]]&lt;&gt;0),BAZZS[[#This Row],[Студенти]]=0),1,0)</f>
        <v>0</v>
      </c>
      <c r="E39" s="135">
        <f>IF(AND(BAZZS[[#This Row],[Изпитани]]&lt;&gt;0,BAZZS[[#This Row],[Изпитващ]]=0),1,0)</f>
        <v>0</v>
      </c>
      <c r="F39" s="136">
        <f>IFERROR(VLOOKUP(BAZZS[[#This Row],[Език]],Коефициент_Eзик[],2,0),0)</f>
        <v>1</v>
      </c>
      <c r="G39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39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39" s="886">
        <f>IFERROR(IF(BAZZS[[#This Row],[ФормаОб]]=list!$A$55,Coef!$B$10,Coef!$B$9),0)</f>
        <v>0.5</v>
      </c>
      <c r="J39" s="135">
        <f>N(BAZZS[[#This Row],[Лекции]])*BAZZS[[#This Row],[кЕзик]]*BAZZS[[#This Row],[кСтуденти]]*кЛекции</f>
        <v>0</v>
      </c>
      <c r="K39" s="135">
        <f>N(BAZZS[[#This Row],[Упражнения]])*BAZZS[[#This Row],[кЕзик]]*BAZZS[[#This Row],[кСтуденти]]*кУпражнение</f>
        <v>0</v>
      </c>
      <c r="L39" s="135">
        <f>N(BAZZS[[#This Row],[Изпитани]])*BAZZS[[#This Row],[кИзпитващ]]</f>
        <v>0</v>
      </c>
      <c r="M39" s="869">
        <f>BAZZS[[#This Row],[ТО]]*BAZZS[[#This Row],[кTO]]</f>
        <v>0</v>
      </c>
      <c r="N39" s="677"/>
      <c r="O39" s="678"/>
      <c r="P39" s="678"/>
      <c r="Q39" s="682"/>
      <c r="R39" s="683"/>
      <c r="S39" s="684"/>
      <c r="T39" s="297"/>
      <c r="U39" s="295"/>
      <c r="V39" s="298"/>
      <c r="W39" s="688" t="s">
        <v>84</v>
      </c>
      <c r="X39" s="684"/>
      <c r="Y39" s="684"/>
      <c r="Z39" s="296"/>
      <c r="AA39" s="299"/>
      <c r="AB39" s="300"/>
      <c r="AF39"/>
      <c r="AG39"/>
      <c r="AJ39" s="47">
        <v>-1</v>
      </c>
    </row>
    <row r="40" spans="2:36" s="47" customFormat="1" hidden="1" x14ac:dyDescent="0.3">
      <c r="B40" s="294">
        <f t="shared" si="0"/>
        <v>10</v>
      </c>
      <c r="C40" s="135">
        <f>AND(LEN(BAZZS[[#This Row],[Дисциплина]]&amp;BAZZS[[#This Row],[Специалност]]&amp;BAZZS[[#This Row],[Факултет]])&gt;0,LEN(BAZZS[[#This Row],[Вид]])=0)*1</f>
        <v>0</v>
      </c>
      <c r="D40" s="135">
        <f>IF(AND(BAZZS[[#This Row],[Дисциплина]]&lt;&gt;0,OR(BAZZS[[#This Row],[Лекции]]&lt;&gt;0,BAZZS[[#This Row],[Упражнения]]&lt;&gt;0),BAZZS[[#This Row],[Студенти]]=0),1,0)</f>
        <v>0</v>
      </c>
      <c r="E40" s="135">
        <f>IF(AND(BAZZS[[#This Row],[Изпитани]]&lt;&gt;0,BAZZS[[#This Row],[Изпитващ]]=0),1,0)</f>
        <v>0</v>
      </c>
      <c r="F40" s="136">
        <f>IFERROR(VLOOKUP(BAZZS[[#This Row],[Език]],Коефициент_Eзик[],2,0),0)</f>
        <v>1</v>
      </c>
      <c r="G40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0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0" s="886">
        <f>IFERROR(IF(BAZZS[[#This Row],[ФормаОб]]=list!$A$55,Coef!$B$10,Coef!$B$9),0)</f>
        <v>0.5</v>
      </c>
      <c r="J40" s="135">
        <f>N(BAZZS[[#This Row],[Лекции]])*BAZZS[[#This Row],[кЕзик]]*BAZZS[[#This Row],[кСтуденти]]*кЛекции</f>
        <v>0</v>
      </c>
      <c r="K40" s="135">
        <f>N(BAZZS[[#This Row],[Упражнения]])*BAZZS[[#This Row],[кЕзик]]*BAZZS[[#This Row],[кСтуденти]]*кУпражнение</f>
        <v>0</v>
      </c>
      <c r="L40" s="135">
        <f>N(BAZZS[[#This Row],[Изпитани]])*BAZZS[[#This Row],[кИзпитващ]]</f>
        <v>0</v>
      </c>
      <c r="M40" s="869">
        <f>BAZZS[[#This Row],[ТО]]*BAZZS[[#This Row],[кTO]]</f>
        <v>0</v>
      </c>
      <c r="N40" s="677"/>
      <c r="O40" s="678"/>
      <c r="P40" s="678"/>
      <c r="Q40" s="682"/>
      <c r="R40" s="683"/>
      <c r="S40" s="684"/>
      <c r="T40" s="297"/>
      <c r="U40" s="295"/>
      <c r="V40" s="298"/>
      <c r="W40" s="688" t="s">
        <v>84</v>
      </c>
      <c r="X40" s="684"/>
      <c r="Y40" s="689"/>
      <c r="Z40" s="296"/>
      <c r="AA40" s="299"/>
      <c r="AB40" s="300"/>
      <c r="AF40"/>
      <c r="AG40"/>
      <c r="AJ40" s="47">
        <v>-1</v>
      </c>
    </row>
    <row r="41" spans="2:36" s="47" customFormat="1" hidden="1" x14ac:dyDescent="0.3">
      <c r="B41" s="294">
        <f t="shared" si="0"/>
        <v>11</v>
      </c>
      <c r="C41" s="135">
        <f>AND(LEN(BAZZS[[#This Row],[Дисциплина]]&amp;BAZZS[[#This Row],[Специалност]]&amp;BAZZS[[#This Row],[Факултет]])&gt;0,LEN(BAZZS[[#This Row],[Вид]])=0)*1</f>
        <v>0</v>
      </c>
      <c r="D41" s="135">
        <f>IF(AND(BAZZS[[#This Row],[Дисциплина]]&lt;&gt;0,OR(BAZZS[[#This Row],[Лекции]]&lt;&gt;0,BAZZS[[#This Row],[Упражнения]]&lt;&gt;0),BAZZS[[#This Row],[Студенти]]=0),1,0)</f>
        <v>0</v>
      </c>
      <c r="E41" s="135">
        <f>IF(AND(BAZZS[[#This Row],[Изпитани]]&lt;&gt;0,BAZZS[[#This Row],[Изпитващ]]=0),1,0)</f>
        <v>0</v>
      </c>
      <c r="F41" s="136">
        <f>IFERROR(VLOOKUP(BAZZS[[#This Row],[Език]],Коефициент_Eзик[],2,0),0)</f>
        <v>1</v>
      </c>
      <c r="G41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1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1" s="886">
        <f>IFERROR(IF(BAZZS[[#This Row],[ФормаОб]]=list!$A$55,Coef!$B$10,Coef!$B$9),0)</f>
        <v>0.5</v>
      </c>
      <c r="J41" s="135">
        <f>N(BAZZS[[#This Row],[Лекции]])*BAZZS[[#This Row],[кЕзик]]*BAZZS[[#This Row],[кСтуденти]]*кЛекции</f>
        <v>0</v>
      </c>
      <c r="K41" s="135">
        <f>N(BAZZS[[#This Row],[Упражнения]])*BAZZS[[#This Row],[кЕзик]]*BAZZS[[#This Row],[кСтуденти]]*кУпражнение</f>
        <v>0</v>
      </c>
      <c r="L41" s="135">
        <f>N(BAZZS[[#This Row],[Изпитани]])*BAZZS[[#This Row],[кИзпитващ]]</f>
        <v>0</v>
      </c>
      <c r="M41" s="869">
        <f>BAZZS[[#This Row],[ТО]]*BAZZS[[#This Row],[кTO]]</f>
        <v>0</v>
      </c>
      <c r="N41" s="677"/>
      <c r="O41" s="678"/>
      <c r="P41" s="678"/>
      <c r="Q41" s="682"/>
      <c r="R41" s="683"/>
      <c r="S41" s="684"/>
      <c r="T41" s="297"/>
      <c r="U41" s="295"/>
      <c r="V41" s="298"/>
      <c r="W41" s="688" t="s">
        <v>84</v>
      </c>
      <c r="X41" s="684"/>
      <c r="Y41" s="684"/>
      <c r="Z41" s="296"/>
      <c r="AA41" s="299"/>
      <c r="AB41" s="300"/>
      <c r="AF41"/>
      <c r="AG41"/>
      <c r="AJ41" s="47">
        <v>-1</v>
      </c>
    </row>
    <row r="42" spans="2:36" s="47" customFormat="1" hidden="1" x14ac:dyDescent="0.3">
      <c r="B42" s="294">
        <f t="shared" si="0"/>
        <v>12</v>
      </c>
      <c r="C42" s="135">
        <f>AND(LEN(BAZZS[[#This Row],[Дисциплина]]&amp;BAZZS[[#This Row],[Специалност]]&amp;BAZZS[[#This Row],[Факултет]])&gt;0,LEN(BAZZS[[#This Row],[Вид]])=0)*1</f>
        <v>0</v>
      </c>
      <c r="D42" s="135">
        <f>IF(AND(BAZZS[[#This Row],[Дисциплина]]&lt;&gt;0,OR(BAZZS[[#This Row],[Лекции]]&lt;&gt;0,BAZZS[[#This Row],[Упражнения]]&lt;&gt;0),BAZZS[[#This Row],[Студенти]]=0),1,0)</f>
        <v>0</v>
      </c>
      <c r="E42" s="135">
        <f>IF(AND(BAZZS[[#This Row],[Изпитани]]&lt;&gt;0,BAZZS[[#This Row],[Изпитващ]]=0),1,0)</f>
        <v>0</v>
      </c>
      <c r="F42" s="136">
        <f>IFERROR(VLOOKUP(BAZZS[[#This Row],[Език]],Коефициент_Eзик[],2,0),0)</f>
        <v>1</v>
      </c>
      <c r="G42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2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2" s="886">
        <f>IFERROR(IF(BAZZS[[#This Row],[ФормаОб]]=list!$A$55,Coef!$B$10,Coef!$B$9),0)</f>
        <v>0.5</v>
      </c>
      <c r="J42" s="135">
        <f>N(BAZZS[[#This Row],[Лекции]])*BAZZS[[#This Row],[кЕзик]]*BAZZS[[#This Row],[кСтуденти]]*кЛекции</f>
        <v>0</v>
      </c>
      <c r="K42" s="135">
        <f>N(BAZZS[[#This Row],[Упражнения]])*BAZZS[[#This Row],[кЕзик]]*BAZZS[[#This Row],[кСтуденти]]*кУпражнение</f>
        <v>0</v>
      </c>
      <c r="L42" s="135">
        <f>N(BAZZS[[#This Row],[Изпитани]])*BAZZS[[#This Row],[кИзпитващ]]</f>
        <v>0</v>
      </c>
      <c r="M42" s="869">
        <f>BAZZS[[#This Row],[ТО]]*BAZZS[[#This Row],[кTO]]</f>
        <v>0</v>
      </c>
      <c r="N42" s="677"/>
      <c r="O42" s="678"/>
      <c r="P42" s="678"/>
      <c r="Q42" s="682"/>
      <c r="R42" s="683"/>
      <c r="S42" s="684"/>
      <c r="T42" s="297"/>
      <c r="U42" s="295"/>
      <c r="V42" s="298"/>
      <c r="W42" s="688" t="s">
        <v>84</v>
      </c>
      <c r="X42" s="684"/>
      <c r="Y42" s="689"/>
      <c r="Z42" s="296"/>
      <c r="AA42" s="299"/>
      <c r="AB42" s="300"/>
      <c r="AF42"/>
      <c r="AG42"/>
      <c r="AJ42" s="47">
        <v>-1</v>
      </c>
    </row>
    <row r="43" spans="2:36" s="47" customFormat="1" hidden="1" x14ac:dyDescent="0.3">
      <c r="B43" s="294">
        <f t="shared" si="0"/>
        <v>13</v>
      </c>
      <c r="C43" s="135">
        <f>AND(LEN(BAZZS[[#This Row],[Дисциплина]]&amp;BAZZS[[#This Row],[Специалност]]&amp;BAZZS[[#This Row],[Факултет]])&gt;0,LEN(BAZZS[[#This Row],[Вид]])=0)*1</f>
        <v>0</v>
      </c>
      <c r="D43" s="135">
        <f>IF(AND(BAZZS[[#This Row],[Дисциплина]]&lt;&gt;0,OR(BAZZS[[#This Row],[Лекции]]&lt;&gt;0,BAZZS[[#This Row],[Упражнения]]&lt;&gt;0),BAZZS[[#This Row],[Студенти]]=0),1,0)</f>
        <v>0</v>
      </c>
      <c r="E43" s="135">
        <f>IF(AND(BAZZS[[#This Row],[Изпитани]]&lt;&gt;0,BAZZS[[#This Row],[Изпитващ]]=0),1,0)</f>
        <v>0</v>
      </c>
      <c r="F43" s="136">
        <f>IFERROR(VLOOKUP(BAZZS[[#This Row],[Език]],Коефициент_Eзик[],2,0),0)</f>
        <v>1</v>
      </c>
      <c r="G43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3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3" s="886">
        <f>IFERROR(IF(BAZZS[[#This Row],[ФормаОб]]=list!$A$55,Coef!$B$10,Coef!$B$9),0)</f>
        <v>0.5</v>
      </c>
      <c r="J43" s="135">
        <f>N(BAZZS[[#This Row],[Лекции]])*BAZZS[[#This Row],[кЕзик]]*BAZZS[[#This Row],[кСтуденти]]*кЛекции</f>
        <v>0</v>
      </c>
      <c r="K43" s="135">
        <f>N(BAZZS[[#This Row],[Упражнения]])*BAZZS[[#This Row],[кЕзик]]*BAZZS[[#This Row],[кСтуденти]]*кУпражнение</f>
        <v>0</v>
      </c>
      <c r="L43" s="135">
        <f>N(BAZZS[[#This Row],[Изпитани]])*BAZZS[[#This Row],[кИзпитващ]]</f>
        <v>0</v>
      </c>
      <c r="M43" s="869">
        <f>BAZZS[[#This Row],[ТО]]*BAZZS[[#This Row],[кTO]]</f>
        <v>0</v>
      </c>
      <c r="N43" s="677"/>
      <c r="O43" s="678"/>
      <c r="P43" s="678"/>
      <c r="Q43" s="682"/>
      <c r="R43" s="683"/>
      <c r="S43" s="684"/>
      <c r="T43" s="297"/>
      <c r="U43" s="295"/>
      <c r="V43" s="298"/>
      <c r="W43" s="688" t="s">
        <v>84</v>
      </c>
      <c r="X43" s="684"/>
      <c r="Y43" s="684"/>
      <c r="Z43" s="296"/>
      <c r="AA43" s="299"/>
      <c r="AB43" s="300"/>
      <c r="AF43"/>
      <c r="AG43"/>
      <c r="AJ43" s="47">
        <v>-1</v>
      </c>
    </row>
    <row r="44" spans="2:36" s="47" customFormat="1" hidden="1" x14ac:dyDescent="0.3">
      <c r="B44" s="294">
        <f t="shared" si="0"/>
        <v>14</v>
      </c>
      <c r="C44" s="135">
        <f>AND(LEN(BAZZS[[#This Row],[Дисциплина]]&amp;BAZZS[[#This Row],[Специалност]]&amp;BAZZS[[#This Row],[Факултет]])&gt;0,LEN(BAZZS[[#This Row],[Вид]])=0)*1</f>
        <v>0</v>
      </c>
      <c r="D44" s="135">
        <f>IF(AND(BAZZS[[#This Row],[Дисциплина]]&lt;&gt;0,OR(BAZZS[[#This Row],[Лекции]]&lt;&gt;0,BAZZS[[#This Row],[Упражнения]]&lt;&gt;0),BAZZS[[#This Row],[Студенти]]=0),1,0)</f>
        <v>0</v>
      </c>
      <c r="E44" s="135">
        <f>IF(AND(BAZZS[[#This Row],[Изпитани]]&lt;&gt;0,BAZZS[[#This Row],[Изпитващ]]=0),1,0)</f>
        <v>0</v>
      </c>
      <c r="F44" s="136">
        <f>IFERROR(VLOOKUP(BAZZS[[#This Row],[Език]],Коефициент_Eзик[],2,0),0)</f>
        <v>1</v>
      </c>
      <c r="G44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4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4" s="886">
        <f>IFERROR(IF(BAZZS[[#This Row],[ФормаОб]]=list!$A$55,Coef!$B$10,Coef!$B$9),0)</f>
        <v>0.5</v>
      </c>
      <c r="J44" s="135">
        <f>N(BAZZS[[#This Row],[Лекции]])*BAZZS[[#This Row],[кЕзик]]*BAZZS[[#This Row],[кСтуденти]]*кЛекции</f>
        <v>0</v>
      </c>
      <c r="K44" s="135">
        <f>N(BAZZS[[#This Row],[Упражнения]])*BAZZS[[#This Row],[кЕзик]]*BAZZS[[#This Row],[кСтуденти]]*кУпражнение</f>
        <v>0</v>
      </c>
      <c r="L44" s="135">
        <f>N(BAZZS[[#This Row],[Изпитани]])*BAZZS[[#This Row],[кИзпитващ]]</f>
        <v>0</v>
      </c>
      <c r="M44" s="869">
        <f>BAZZS[[#This Row],[ТО]]*BAZZS[[#This Row],[кTO]]</f>
        <v>0</v>
      </c>
      <c r="N44" s="677"/>
      <c r="O44" s="678"/>
      <c r="P44" s="678"/>
      <c r="Q44" s="682"/>
      <c r="R44" s="683"/>
      <c r="S44" s="684"/>
      <c r="T44" s="297"/>
      <c r="U44" s="295"/>
      <c r="V44" s="298"/>
      <c r="W44" s="688" t="s">
        <v>84</v>
      </c>
      <c r="X44" s="684"/>
      <c r="Y44" s="689"/>
      <c r="Z44" s="296"/>
      <c r="AA44" s="299"/>
      <c r="AB44" s="300"/>
      <c r="AF44"/>
      <c r="AG44"/>
      <c r="AJ44" s="47">
        <v>-1</v>
      </c>
    </row>
    <row r="45" spans="2:36" s="47" customFormat="1" hidden="1" x14ac:dyDescent="0.3">
      <c r="B45" s="294">
        <f t="shared" si="0"/>
        <v>15</v>
      </c>
      <c r="C45" s="135">
        <f>AND(LEN(BAZZS[[#This Row],[Дисциплина]]&amp;BAZZS[[#This Row],[Специалност]]&amp;BAZZS[[#This Row],[Факултет]])&gt;0,LEN(BAZZS[[#This Row],[Вид]])=0)*1</f>
        <v>0</v>
      </c>
      <c r="D45" s="135">
        <f>IF(AND(BAZZS[[#This Row],[Дисциплина]]&lt;&gt;0,OR(BAZZS[[#This Row],[Лекции]]&lt;&gt;0,BAZZS[[#This Row],[Упражнения]]&lt;&gt;0),BAZZS[[#This Row],[Студенти]]=0),1,0)</f>
        <v>0</v>
      </c>
      <c r="E45" s="135">
        <f>IF(AND(BAZZS[[#This Row],[Изпитани]]&lt;&gt;0,BAZZS[[#This Row],[Изпитващ]]=0),1,0)</f>
        <v>0</v>
      </c>
      <c r="F45" s="136">
        <f>IFERROR(VLOOKUP(BAZZS[[#This Row],[Език]],Коефициент_Eзик[],2,0),0)</f>
        <v>1</v>
      </c>
      <c r="G45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5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5" s="886">
        <f>IFERROR(IF(BAZZS[[#This Row],[ФормаОб]]=list!$A$55,Coef!$B$10,Coef!$B$9),0)</f>
        <v>0.5</v>
      </c>
      <c r="J45" s="135">
        <f>N(BAZZS[[#This Row],[Лекции]])*BAZZS[[#This Row],[кЕзик]]*BAZZS[[#This Row],[кСтуденти]]*кЛекции</f>
        <v>0</v>
      </c>
      <c r="K45" s="135">
        <f>N(BAZZS[[#This Row],[Упражнения]])*BAZZS[[#This Row],[кЕзик]]*BAZZS[[#This Row],[кСтуденти]]*кУпражнение</f>
        <v>0</v>
      </c>
      <c r="L45" s="135">
        <f>N(BAZZS[[#This Row],[Изпитани]])*BAZZS[[#This Row],[кИзпитващ]]</f>
        <v>0</v>
      </c>
      <c r="M45" s="869">
        <f>BAZZS[[#This Row],[ТО]]*BAZZS[[#This Row],[кTO]]</f>
        <v>0</v>
      </c>
      <c r="N45" s="677"/>
      <c r="O45" s="678"/>
      <c r="P45" s="678"/>
      <c r="Q45" s="682"/>
      <c r="R45" s="683"/>
      <c r="S45" s="684"/>
      <c r="T45" s="297"/>
      <c r="U45" s="295"/>
      <c r="V45" s="298"/>
      <c r="W45" s="688" t="s">
        <v>84</v>
      </c>
      <c r="X45" s="684"/>
      <c r="Y45" s="684"/>
      <c r="Z45" s="296"/>
      <c r="AA45" s="299"/>
      <c r="AB45" s="300"/>
      <c r="AJ45" s="47">
        <v>-1</v>
      </c>
    </row>
    <row r="46" spans="2:36" s="47" customFormat="1" hidden="1" x14ac:dyDescent="0.3">
      <c r="B46" s="294">
        <f t="shared" si="0"/>
        <v>16</v>
      </c>
      <c r="C46" s="135">
        <f>AND(LEN(BAZZS[[#This Row],[Дисциплина]]&amp;BAZZS[[#This Row],[Специалност]]&amp;BAZZS[[#This Row],[Факултет]])&gt;0,LEN(BAZZS[[#This Row],[Вид]])=0)*1</f>
        <v>0</v>
      </c>
      <c r="D46" s="135">
        <f>IF(AND(BAZZS[[#This Row],[Дисциплина]]&lt;&gt;0,OR(BAZZS[[#This Row],[Лекции]]&lt;&gt;0,BAZZS[[#This Row],[Упражнения]]&lt;&gt;0),BAZZS[[#This Row],[Студенти]]=0),1,0)</f>
        <v>0</v>
      </c>
      <c r="E46" s="135">
        <f>IF(AND(BAZZS[[#This Row],[Изпитани]]&lt;&gt;0,BAZZS[[#This Row],[Изпитващ]]=0),1,0)</f>
        <v>0</v>
      </c>
      <c r="F46" s="136">
        <f>IFERROR(VLOOKUP(BAZZS[[#This Row],[Език]],Коефициент_Eзик[],2,0),0)</f>
        <v>1</v>
      </c>
      <c r="G46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6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6" s="886">
        <f>IFERROR(IF(BAZZS[[#This Row],[ФормаОб]]=list!$A$55,Coef!$B$10,Coef!$B$9),0)</f>
        <v>0.5</v>
      </c>
      <c r="J46" s="135">
        <f>N(BAZZS[[#This Row],[Лекции]])*BAZZS[[#This Row],[кЕзик]]*BAZZS[[#This Row],[кСтуденти]]*кЛекции</f>
        <v>0</v>
      </c>
      <c r="K46" s="135">
        <f>N(BAZZS[[#This Row],[Упражнения]])*BAZZS[[#This Row],[кЕзик]]*BAZZS[[#This Row],[кСтуденти]]*кУпражнение</f>
        <v>0</v>
      </c>
      <c r="L46" s="135">
        <f>N(BAZZS[[#This Row],[Изпитани]])*BAZZS[[#This Row],[кИзпитващ]]</f>
        <v>0</v>
      </c>
      <c r="M46" s="869">
        <f>BAZZS[[#This Row],[ТО]]*BAZZS[[#This Row],[кTO]]</f>
        <v>0</v>
      </c>
      <c r="N46" s="677"/>
      <c r="O46" s="678"/>
      <c r="P46" s="678"/>
      <c r="Q46" s="682"/>
      <c r="R46" s="683"/>
      <c r="S46" s="684"/>
      <c r="T46" s="297"/>
      <c r="U46" s="295"/>
      <c r="V46" s="298"/>
      <c r="W46" s="688" t="s">
        <v>84</v>
      </c>
      <c r="X46" s="684"/>
      <c r="Y46" s="689"/>
      <c r="Z46" s="296"/>
      <c r="AA46" s="299"/>
      <c r="AB46" s="300"/>
      <c r="AJ46" s="47">
        <v>-1</v>
      </c>
    </row>
    <row r="47" spans="2:36" s="47" customFormat="1" hidden="1" x14ac:dyDescent="0.3">
      <c r="B47" s="294">
        <f t="shared" si="0"/>
        <v>17</v>
      </c>
      <c r="C47" s="135">
        <f>AND(LEN(BAZZS[[#This Row],[Дисциплина]]&amp;BAZZS[[#This Row],[Специалност]]&amp;BAZZS[[#This Row],[Факултет]])&gt;0,LEN(BAZZS[[#This Row],[Вид]])=0)*1</f>
        <v>0</v>
      </c>
      <c r="D47" s="135">
        <f>IF(AND(BAZZS[[#This Row],[Дисциплина]]&lt;&gt;0,OR(BAZZS[[#This Row],[Лекции]]&lt;&gt;0,BAZZS[[#This Row],[Упражнения]]&lt;&gt;0),BAZZS[[#This Row],[Студенти]]=0),1,0)</f>
        <v>0</v>
      </c>
      <c r="E47" s="135">
        <f>IF(AND(BAZZS[[#This Row],[Изпитани]]&lt;&gt;0,BAZZS[[#This Row],[Изпитващ]]=0),1,0)</f>
        <v>0</v>
      </c>
      <c r="F47" s="136">
        <f>IFERROR(VLOOKUP(BAZZS[[#This Row],[Език]],Коефициент_Eзик[],2,0),0)</f>
        <v>1</v>
      </c>
      <c r="G47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7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7" s="886">
        <f>IFERROR(IF(BAZZS[[#This Row],[ФормаОб]]=list!$A$55,Coef!$B$10,Coef!$B$9),0)</f>
        <v>0.5</v>
      </c>
      <c r="J47" s="135">
        <f>N(BAZZS[[#This Row],[Лекции]])*BAZZS[[#This Row],[кЕзик]]*BAZZS[[#This Row],[кСтуденти]]*кЛекции</f>
        <v>0</v>
      </c>
      <c r="K47" s="135">
        <f>N(BAZZS[[#This Row],[Упражнения]])*BAZZS[[#This Row],[кЕзик]]*BAZZS[[#This Row],[кСтуденти]]*кУпражнение</f>
        <v>0</v>
      </c>
      <c r="L47" s="135">
        <f>N(BAZZS[[#This Row],[Изпитани]])*BAZZS[[#This Row],[кИзпитващ]]</f>
        <v>0</v>
      </c>
      <c r="M47" s="869">
        <f>BAZZS[[#This Row],[ТО]]*BAZZS[[#This Row],[кTO]]</f>
        <v>0</v>
      </c>
      <c r="N47" s="677"/>
      <c r="O47" s="678"/>
      <c r="P47" s="678"/>
      <c r="Q47" s="682"/>
      <c r="R47" s="683"/>
      <c r="S47" s="684"/>
      <c r="T47" s="297"/>
      <c r="U47" s="295"/>
      <c r="V47" s="298"/>
      <c r="W47" s="688" t="s">
        <v>84</v>
      </c>
      <c r="X47" s="684"/>
      <c r="Y47" s="684"/>
      <c r="Z47" s="296"/>
      <c r="AA47" s="299"/>
      <c r="AB47" s="300"/>
      <c r="AJ47" s="47">
        <v>-1</v>
      </c>
    </row>
    <row r="48" spans="2:36" s="47" customFormat="1" hidden="1" x14ac:dyDescent="0.3">
      <c r="B48" s="294">
        <f t="shared" si="0"/>
        <v>18</v>
      </c>
      <c r="C48" s="135">
        <f>AND(LEN(BAZZS[[#This Row],[Дисциплина]]&amp;BAZZS[[#This Row],[Специалност]]&amp;BAZZS[[#This Row],[Факултет]])&gt;0,LEN(BAZZS[[#This Row],[Вид]])=0)*1</f>
        <v>0</v>
      </c>
      <c r="D48" s="135">
        <f>IF(AND(BAZZS[[#This Row],[Дисциплина]]&lt;&gt;0,OR(BAZZS[[#This Row],[Лекции]]&lt;&gt;0,BAZZS[[#This Row],[Упражнения]]&lt;&gt;0),BAZZS[[#This Row],[Студенти]]=0),1,0)</f>
        <v>0</v>
      </c>
      <c r="E48" s="135">
        <f>IF(AND(BAZZS[[#This Row],[Изпитани]]&lt;&gt;0,BAZZS[[#This Row],[Изпитващ]]=0),1,0)</f>
        <v>0</v>
      </c>
      <c r="F48" s="136">
        <f>IFERROR(VLOOKUP(BAZZS[[#This Row],[Език]],Коефициент_Eзик[],2,0),0)</f>
        <v>1</v>
      </c>
      <c r="G48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8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8" s="886">
        <f>IFERROR(IF(BAZZS[[#This Row],[ФормаОб]]=list!$A$55,Coef!$B$10,Coef!$B$9),0)</f>
        <v>0.5</v>
      </c>
      <c r="J48" s="135">
        <f>N(BAZZS[[#This Row],[Лекции]])*BAZZS[[#This Row],[кЕзик]]*BAZZS[[#This Row],[кСтуденти]]*кЛекции</f>
        <v>0</v>
      </c>
      <c r="K48" s="135">
        <f>N(BAZZS[[#This Row],[Упражнения]])*BAZZS[[#This Row],[кЕзик]]*BAZZS[[#This Row],[кСтуденти]]*кУпражнение</f>
        <v>0</v>
      </c>
      <c r="L48" s="135">
        <f>N(BAZZS[[#This Row],[Изпитани]])*BAZZS[[#This Row],[кИзпитващ]]</f>
        <v>0</v>
      </c>
      <c r="M48" s="869">
        <f>BAZZS[[#This Row],[ТО]]*BAZZS[[#This Row],[кTO]]</f>
        <v>0</v>
      </c>
      <c r="N48" s="677"/>
      <c r="O48" s="678"/>
      <c r="P48" s="678"/>
      <c r="Q48" s="682"/>
      <c r="R48" s="683"/>
      <c r="S48" s="684"/>
      <c r="T48" s="297"/>
      <c r="U48" s="295"/>
      <c r="V48" s="298"/>
      <c r="W48" s="688" t="s">
        <v>84</v>
      </c>
      <c r="X48" s="684"/>
      <c r="Y48" s="689"/>
      <c r="Z48" s="296"/>
      <c r="AA48" s="299"/>
      <c r="AB48" s="300"/>
      <c r="AJ48" s="47">
        <v>-1</v>
      </c>
    </row>
    <row r="49" spans="2:36" s="47" customFormat="1" ht="17.25" hidden="1" thickBot="1" x14ac:dyDescent="0.35">
      <c r="B49" s="294">
        <f t="shared" si="0"/>
        <v>19</v>
      </c>
      <c r="C49" s="135">
        <f>AND(LEN(BAZZS[[#This Row],[Дисциплина]]&amp;BAZZS[[#This Row],[Специалност]]&amp;BAZZS[[#This Row],[Факултет]])&gt;0,LEN(BAZZS[[#This Row],[Вид]])=0)*1</f>
        <v>0</v>
      </c>
      <c r="D49" s="135">
        <f>IF(AND(BAZZS[[#This Row],[Дисциплина]]&lt;&gt;0,OR(BAZZS[[#This Row],[Лекции]]&lt;&gt;0,BAZZS[[#This Row],[Упражнения]]&lt;&gt;0),BAZZS[[#This Row],[Студенти]]=0),1,0)</f>
        <v>0</v>
      </c>
      <c r="E49" s="135">
        <f>IF(AND(BAZZS[[#This Row],[Изпитани]]&lt;&gt;0,BAZZS[[#This Row],[Изпитващ]]=0),1,0)</f>
        <v>0</v>
      </c>
      <c r="F49" s="136">
        <f>IFERROR(VLOOKUP(BAZZS[[#This Row],[Език]],Коефициент_Eзик[],2,0),0)</f>
        <v>1</v>
      </c>
      <c r="G49" s="135">
        <f>IFERROR(IF(AND(BAZZS[[#This Row],[Студенти]]&gt;0,OR(BAZZS[[#This Row],[Вид]]="З",BAZZS[[#This Row],[Студенти]]&gt;=6)),1,VLOOKUP(BAZZS[[#This Row],[Студенти]],RdukciaChasove[],2,0)),0)</f>
        <v>0</v>
      </c>
      <c r="H49" s="135">
        <f>IFERROR(IF(T(BAZZS[[#This Row],[Изпитващ]])="",0,IF(AND('1. Планд'!$B$6=list!$A$11,BAZZS[[#This Row],[ФормаОц]]=list!$A$66),Coef!$B$8,VLOOKUP(BAZZS[[#This Row],[Изпитващ]],Koef.ocenqvane[],2,0))),0)</f>
        <v>0</v>
      </c>
      <c r="I49" s="886">
        <f>IFERROR(IF(BAZZS[[#This Row],[ФормаОб]]=list!$A$55,Coef!$B$10,Coef!$B$9),0)</f>
        <v>0.5</v>
      </c>
      <c r="J49" s="135">
        <f>N(BAZZS[[#This Row],[Лекции]])*BAZZS[[#This Row],[кЕзик]]*BAZZS[[#This Row],[кСтуденти]]*кЛекции</f>
        <v>0</v>
      </c>
      <c r="K49" s="135">
        <f>N(BAZZS[[#This Row],[Упражнения]])*BAZZS[[#This Row],[кЕзик]]*BAZZS[[#This Row],[кСтуденти]]*кУпражнение</f>
        <v>0</v>
      </c>
      <c r="L49" s="135">
        <f>N(BAZZS[[#This Row],[Изпитани]])*BAZZS[[#This Row],[кИзпитващ]]</f>
        <v>0</v>
      </c>
      <c r="M49" s="869">
        <f>BAZZS[[#This Row],[ТО]]*BAZZS[[#This Row],[кTO]]</f>
        <v>0</v>
      </c>
      <c r="N49" s="677"/>
      <c r="O49" s="678"/>
      <c r="P49" s="678"/>
      <c r="Q49" s="685"/>
      <c r="R49" s="686"/>
      <c r="S49" s="687"/>
      <c r="T49" s="650"/>
      <c r="U49" s="295"/>
      <c r="V49" s="298"/>
      <c r="W49" s="688" t="s">
        <v>84</v>
      </c>
      <c r="X49" s="684"/>
      <c r="Y49" s="684"/>
      <c r="Z49" s="296"/>
      <c r="AA49" s="299"/>
      <c r="AB49" s="300"/>
      <c r="AJ49" s="47">
        <v>-1</v>
      </c>
    </row>
    <row r="50" spans="2:36" s="48" customFormat="1" ht="9.9499999999999993" hidden="1" customHeight="1" x14ac:dyDescent="0.3">
      <c r="B50" s="132" t="s">
        <v>417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J50" s="566">
        <v>-1</v>
      </c>
    </row>
    <row r="51" spans="2:36" s="50" customFormat="1" ht="26.25" hidden="1" customHeight="1" x14ac:dyDescent="0.3">
      <c r="B51" s="216" t="s">
        <v>420</v>
      </c>
      <c r="M51" s="50" t="str">
        <f>IF(M25,2,"1.2")</f>
        <v>1.2</v>
      </c>
      <c r="N51" s="1538" t="str">
        <f>M51&amp;". ОКС ""бакалавър"" и ""магистър"" след средно образование – практики и курсови работи – ЗИМЕН семестър"</f>
        <v>1.2. ОКС "бакалавър" и "магистър" след средно образование – практики и курсови работи – ЗИМЕН семестър</v>
      </c>
      <c r="O51" s="1539"/>
      <c r="P51" s="1539"/>
      <c r="Q51" s="1539"/>
      <c r="R51" s="1539"/>
      <c r="S51" s="1539"/>
      <c r="T51" s="1539"/>
      <c r="U51" s="1539"/>
      <c r="V51" s="1539"/>
      <c r="W51" s="1539"/>
      <c r="X51" s="1539"/>
      <c r="Y51" s="1539"/>
      <c r="Z51" s="1539"/>
      <c r="AA51" s="1539"/>
      <c r="AB51" s="1540"/>
      <c r="AJ51" s="567">
        <v>-1</v>
      </c>
    </row>
    <row r="52" spans="2:36" s="50" customFormat="1" ht="21" hidden="1" customHeight="1" thickBot="1" x14ac:dyDescent="0.35">
      <c r="B52" s="131" t="s">
        <v>477</v>
      </c>
      <c r="C52" s="41"/>
      <c r="D52" s="41"/>
      <c r="E52" s="41"/>
      <c r="F52" s="41"/>
      <c r="G52" s="41"/>
      <c r="K52" s="41"/>
      <c r="L52" s="41"/>
      <c r="N52" s="1563" t="s">
        <v>804</v>
      </c>
      <c r="O52" s="1564"/>
      <c r="P52" s="1564"/>
      <c r="Q52" s="1564"/>
      <c r="R52" s="1564"/>
      <c r="S52" s="1564"/>
      <c r="T52" s="1564"/>
      <c r="U52" s="1564"/>
      <c r="V52" s="1564"/>
      <c r="W52" s="1564"/>
      <c r="X52" s="1564"/>
      <c r="Y52" s="1564"/>
      <c r="Z52" s="1564"/>
      <c r="AA52" s="1564"/>
      <c r="AB52" s="1565"/>
      <c r="AJ52" s="567">
        <v>-1</v>
      </c>
    </row>
    <row r="53" spans="2:36" s="451" customFormat="1" ht="21.75" hidden="1" customHeight="1" thickBot="1" x14ac:dyDescent="0.3">
      <c r="B53" s="449" t="s">
        <v>418</v>
      </c>
      <c r="C53" s="450"/>
      <c r="D53" s="450"/>
      <c r="E53" s="450"/>
      <c r="N53" s="1583" t="s">
        <v>22</v>
      </c>
      <c r="O53" s="1584" t="s">
        <v>17</v>
      </c>
      <c r="P53" s="1586" t="s">
        <v>18</v>
      </c>
      <c r="Q53" s="1583" t="s">
        <v>19</v>
      </c>
      <c r="R53" s="1584" t="s">
        <v>20</v>
      </c>
      <c r="S53" s="1552" t="s">
        <v>569</v>
      </c>
      <c r="T53" s="1590" t="s">
        <v>508</v>
      </c>
      <c r="U53" s="1615" t="s">
        <v>558</v>
      </c>
      <c r="V53" s="1590"/>
      <c r="W53" s="1616"/>
      <c r="X53" s="1579" t="s">
        <v>474</v>
      </c>
      <c r="Y53" s="1581" t="s">
        <v>312</v>
      </c>
      <c r="Z53" s="1583" t="s">
        <v>335</v>
      </c>
      <c r="AA53" s="1584"/>
      <c r="AB53" s="1585"/>
      <c r="AE53" s="676"/>
      <c r="AJ53" s="571">
        <v>-1</v>
      </c>
    </row>
    <row r="54" spans="2:36" s="450" customFormat="1" ht="26.25" hidden="1" thickBot="1" x14ac:dyDescent="0.3">
      <c r="B54" s="449" t="s">
        <v>419</v>
      </c>
      <c r="C54"/>
      <c r="D54" s="1544" t="s">
        <v>575</v>
      </c>
      <c r="E54" s="1611"/>
      <c r="F54" s="1545"/>
      <c r="G54" s="1544" t="s">
        <v>316</v>
      </c>
      <c r="H54" s="1545"/>
      <c r="I54" s="1544" t="s">
        <v>313</v>
      </c>
      <c r="J54" s="1545"/>
      <c r="K54" s="1618" t="s">
        <v>339</v>
      </c>
      <c r="L54" s="1618"/>
      <c r="M54" s="1619"/>
      <c r="N54" s="1588"/>
      <c r="O54" s="1589"/>
      <c r="P54" s="1587"/>
      <c r="Q54" s="1588"/>
      <c r="R54" s="1589"/>
      <c r="S54" s="1553"/>
      <c r="T54" s="1591"/>
      <c r="U54" s="476" t="s">
        <v>557</v>
      </c>
      <c r="V54" s="477" t="s">
        <v>792</v>
      </c>
      <c r="W54" s="478" t="s">
        <v>793</v>
      </c>
      <c r="X54" s="1580"/>
      <c r="Y54" s="1582"/>
      <c r="Z54" s="440" t="s">
        <v>330</v>
      </c>
      <c r="AA54" s="441" t="s">
        <v>331</v>
      </c>
      <c r="AB54" s="442" t="s">
        <v>394</v>
      </c>
      <c r="AJ54" s="572">
        <v>-1</v>
      </c>
    </row>
    <row r="55" spans="2:36" ht="21" hidden="1" thickBot="1" x14ac:dyDescent="0.35">
      <c r="B55" s="131" t="s">
        <v>425</v>
      </c>
      <c r="C55"/>
      <c r="D55" s="489" t="s">
        <v>585</v>
      </c>
      <c r="E55" s="145" t="s">
        <v>576</v>
      </c>
      <c r="F55" s="147" t="s">
        <v>626</v>
      </c>
      <c r="G55" s="149" t="s">
        <v>395</v>
      </c>
      <c r="H55" s="151" t="s">
        <v>338</v>
      </c>
      <c r="I55" s="149" t="s">
        <v>396</v>
      </c>
      <c r="J55" s="866" t="s">
        <v>336</v>
      </c>
      <c r="K55" s="469" t="s">
        <v>579</v>
      </c>
      <c r="L55" s="469" t="s">
        <v>392</v>
      </c>
      <c r="M55" s="875" t="s">
        <v>337</v>
      </c>
      <c r="N55" s="142" t="s">
        <v>22</v>
      </c>
      <c r="O55" s="143" t="s">
        <v>17</v>
      </c>
      <c r="P55" s="143" t="s">
        <v>18</v>
      </c>
      <c r="Q55" s="142" t="s">
        <v>19</v>
      </c>
      <c r="R55" s="143" t="s">
        <v>20</v>
      </c>
      <c r="S55" s="144" t="s">
        <v>630</v>
      </c>
      <c r="T55" s="143" t="s">
        <v>628</v>
      </c>
      <c r="U55" s="535" t="s">
        <v>578</v>
      </c>
      <c r="V55" s="536" t="s">
        <v>554</v>
      </c>
      <c r="W55" s="543" t="s">
        <v>571</v>
      </c>
      <c r="X55" s="535" t="s">
        <v>631</v>
      </c>
      <c r="Y55" s="537" t="s">
        <v>333</v>
      </c>
      <c r="Z55" s="544" t="s">
        <v>330</v>
      </c>
      <c r="AA55" s="544" t="s">
        <v>86</v>
      </c>
      <c r="AB55" s="545" t="s">
        <v>332</v>
      </c>
      <c r="AJ55" s="121">
        <v>-1</v>
      </c>
    </row>
    <row r="56" spans="2:36" hidden="1" x14ac:dyDescent="0.3">
      <c r="B56" s="294">
        <f t="shared" ref="B56:B65" si="1">N(B55)+1</f>
        <v>1</v>
      </c>
      <c r="C56"/>
      <c r="D56" s="466">
        <f>IFERROR(MATCH(BPZS[[#This Row],[ВидПрактика]],T_Практики[Практика и курсова работа],0),0)</f>
        <v>0</v>
      </c>
      <c r="E56" s="459" t="str">
        <f>IF(BPZS[[#This Row],[пВидПрактика]],INDEX(T_Практики[Група],BPZS[[#This Row],[пВидПрактика]]),"-")</f>
        <v>-</v>
      </c>
      <c r="F56" s="472" t="str">
        <f>IF(BPZS[[#This Row],[пВидПрактика]],INDEX(T_Практики[Ден],BPZS[[#This Row],[пВидПрактика]])*2,"-")</f>
        <v>-</v>
      </c>
      <c r="G56" s="466">
        <f>IFERROR(AND(BPZS[[#This Row],[ТО]]&lt;&gt;0,BPZS[[#This Row],[ФормаОб]]=0)*1,0)</f>
        <v>0</v>
      </c>
      <c r="H56" s="458">
        <f>IFERROR(AND(BPZS[[#This Row],[Изпитани]]&lt;&gt;0,LEN(BPZS[[#This Row],[Изпитващ]])=0)*1,0)</f>
        <v>0</v>
      </c>
      <c r="I56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56" s="864">
        <f>IFERROR(IF(BPZS[[#This Row],[ФормаОб]]=list!$A$55,Coef!$B$10,Coef!$B$9),0)</f>
        <v>0.5</v>
      </c>
      <c r="K56" s="532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56" s="471">
        <f>BPZS[[#This Row],[кИзпитващ]]*N(BPZS[[#This Row],[Изпитани]])</f>
        <v>0</v>
      </c>
      <c r="M56" s="876">
        <f>N(BPZS[[#This Row],[ТО]])*N(BPZS[[#This Row],[кTO]])</f>
        <v>0</v>
      </c>
      <c r="N56" s="690"/>
      <c r="O56" s="690"/>
      <c r="P56" s="689"/>
      <c r="Q56" s="757"/>
      <c r="R56" s="756"/>
      <c r="S56" s="756"/>
      <c r="T56" s="760"/>
      <c r="U56" s="691"/>
      <c r="V56" s="716"/>
      <c r="W56" s="717"/>
      <c r="X56" s="694"/>
      <c r="Y56" s="694"/>
      <c r="Z56" s="722"/>
      <c r="AA56" s="723"/>
      <c r="AB56" s="724"/>
      <c r="AJ56" s="121">
        <v>-1</v>
      </c>
    </row>
    <row r="57" spans="2:36" hidden="1" x14ac:dyDescent="0.3">
      <c r="B57" s="294">
        <f t="shared" si="1"/>
        <v>2</v>
      </c>
      <c r="C57"/>
      <c r="D57" s="466">
        <f>IFERROR(MATCH(BPZS[[#This Row],[ВидПрактика]],T_Практики[Практика и курсова работа],0),0)</f>
        <v>0</v>
      </c>
      <c r="E57" s="459" t="str">
        <f>IF(BPZS[[#This Row],[пВидПрактика]],INDEX(T_Практики[Група],BPZS[[#This Row],[пВидПрактика]]),"-")</f>
        <v>-</v>
      </c>
      <c r="F57" s="462" t="str">
        <f>IF(BPZS[[#This Row],[пВидПрактика]],INDEX(T_Практики[Ден],BPZS[[#This Row],[пВидПрактика]])*2,"-")</f>
        <v>-</v>
      </c>
      <c r="G57" s="466">
        <f>IFERROR(AND(BPZS[[#This Row],[ТО]]&lt;&gt;0,BPZS[[#This Row],[ФормаОб]]=0)*1,0)</f>
        <v>0</v>
      </c>
      <c r="H57" s="458">
        <f>IFERROR(AND(BPZS[[#This Row],[Изпитани]]&lt;&gt;0,LEN(BPZS[[#This Row],[Изпитващ]])=0)*1,0)</f>
        <v>0</v>
      </c>
      <c r="I57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57" s="864">
        <f>IFERROR(IF(BPZS[[#This Row],[ФормаОб]]=list!$A$55,Coef!$B$10,Coef!$B$9),0)</f>
        <v>0.5</v>
      </c>
      <c r="K57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57" s="464">
        <f>BPZS[[#This Row],[кИзпитващ]]*N(BPZS[[#This Row],[Изпитани]])</f>
        <v>0</v>
      </c>
      <c r="M57" s="877">
        <f>N(BPZS[[#This Row],[ТО]])*N(BPZS[[#This Row],[кTO]])</f>
        <v>0</v>
      </c>
      <c r="N57" s="690"/>
      <c r="O57" s="690"/>
      <c r="P57" s="689"/>
      <c r="Q57" s="758"/>
      <c r="R57" s="755"/>
      <c r="S57" s="755"/>
      <c r="T57" s="759"/>
      <c r="U57" s="692"/>
      <c r="V57" s="718"/>
      <c r="W57" s="719"/>
      <c r="X57" s="694"/>
      <c r="Y57" s="694"/>
      <c r="Z57" s="722"/>
      <c r="AA57" s="723"/>
      <c r="AB57" s="724"/>
      <c r="AJ57" s="121">
        <v>-1</v>
      </c>
    </row>
    <row r="58" spans="2:36" hidden="1" x14ac:dyDescent="0.3">
      <c r="B58" s="294">
        <f t="shared" si="1"/>
        <v>3</v>
      </c>
      <c r="C58"/>
      <c r="D58" s="466">
        <f>IFERROR(MATCH(BPZS[[#This Row],[ВидПрактика]],T_Практики[Практика и курсова работа],0),0)</f>
        <v>0</v>
      </c>
      <c r="E58" s="459" t="str">
        <f>IF(BPZS[[#This Row],[пВидПрактика]],INDEX(T_Практики[Група],BPZS[[#This Row],[пВидПрактика]]),"-")</f>
        <v>-</v>
      </c>
      <c r="F58" s="462" t="str">
        <f>IF(BPZS[[#This Row],[пВидПрактика]],INDEX(T_Практики[Ден],BPZS[[#This Row],[пВидПрактика]])*2,"-")</f>
        <v>-</v>
      </c>
      <c r="G58" s="466">
        <f>IFERROR(AND(BPZS[[#This Row],[ТО]]&lt;&gt;0,BPZS[[#This Row],[ФормаОб]]=0)*1,0)</f>
        <v>0</v>
      </c>
      <c r="H58" s="458">
        <f>IFERROR(AND(BPZS[[#This Row],[Изпитани]]&lt;&gt;0,LEN(BPZS[[#This Row],[Изпитващ]])=0)*1,0)</f>
        <v>0</v>
      </c>
      <c r="I58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58" s="864">
        <f>IFERROR(IF(BPZS[[#This Row],[ФормаОб]]=list!$A$55,Coef!$B$10,Coef!$B$9),0)</f>
        <v>0.5</v>
      </c>
      <c r="K58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58" s="464">
        <f>BPZS[[#This Row],[кИзпитващ]]*N(BPZS[[#This Row],[Изпитани]])</f>
        <v>0</v>
      </c>
      <c r="M58" s="877">
        <f>N(BPZS[[#This Row],[ТО]])*N(BPZS[[#This Row],[кTO]])</f>
        <v>0</v>
      </c>
      <c r="N58" s="690"/>
      <c r="O58" s="690"/>
      <c r="P58" s="689"/>
      <c r="Q58" s="758"/>
      <c r="R58" s="755"/>
      <c r="S58" s="755"/>
      <c r="T58" s="759"/>
      <c r="U58" s="692"/>
      <c r="V58" s="718"/>
      <c r="W58" s="719"/>
      <c r="X58" s="694"/>
      <c r="Y58" s="694"/>
      <c r="Z58" s="722"/>
      <c r="AA58" s="723"/>
      <c r="AB58" s="724"/>
      <c r="AJ58" s="121">
        <v>-1</v>
      </c>
    </row>
    <row r="59" spans="2:36" hidden="1" x14ac:dyDescent="0.3">
      <c r="B59" s="294">
        <f t="shared" si="1"/>
        <v>4</v>
      </c>
      <c r="C59"/>
      <c r="D59" s="466">
        <f>IFERROR(MATCH(BPZS[[#This Row],[ВидПрактика]],T_Практики[Практика и курсова работа],0),0)</f>
        <v>0</v>
      </c>
      <c r="E59" s="459" t="str">
        <f>IF(BPZS[[#This Row],[пВидПрактика]],INDEX(T_Практики[Група],BPZS[[#This Row],[пВидПрактика]]),"-")</f>
        <v>-</v>
      </c>
      <c r="F59" s="462" t="str">
        <f>IF(BPZS[[#This Row],[пВидПрактика]],INDEX(T_Практики[Ден],BPZS[[#This Row],[пВидПрактика]])*2,"-")</f>
        <v>-</v>
      </c>
      <c r="G59" s="466">
        <f>IFERROR(AND(BPZS[[#This Row],[ТО]]&lt;&gt;0,BPZS[[#This Row],[ФормаОб]]=0)*1,0)</f>
        <v>0</v>
      </c>
      <c r="H59" s="458">
        <f>IFERROR(AND(BPZS[[#This Row],[Изпитани]]&lt;&gt;0,LEN(BPZS[[#This Row],[Изпитващ]])=0)*1,0)</f>
        <v>0</v>
      </c>
      <c r="I59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59" s="864">
        <f>IFERROR(IF(BPZS[[#This Row],[ФормаОб]]=list!$A$55,Coef!$B$10,Coef!$B$9),0)</f>
        <v>0.5</v>
      </c>
      <c r="K59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59" s="464">
        <f>BPZS[[#This Row],[кИзпитващ]]*N(BPZS[[#This Row],[Изпитани]])</f>
        <v>0</v>
      </c>
      <c r="M59" s="877">
        <f>N(BPZS[[#This Row],[ТО]])*N(BPZS[[#This Row],[кTO]])</f>
        <v>0</v>
      </c>
      <c r="N59" s="690"/>
      <c r="O59" s="690"/>
      <c r="P59" s="689"/>
      <c r="Q59" s="758"/>
      <c r="R59" s="755"/>
      <c r="S59" s="755"/>
      <c r="T59" s="759"/>
      <c r="U59" s="692"/>
      <c r="V59" s="718"/>
      <c r="W59" s="719"/>
      <c r="X59" s="694"/>
      <c r="Y59" s="694"/>
      <c r="Z59" s="722"/>
      <c r="AA59" s="723"/>
      <c r="AB59" s="724"/>
      <c r="AJ59" s="121">
        <v>-1</v>
      </c>
    </row>
    <row r="60" spans="2:36" hidden="1" x14ac:dyDescent="0.3">
      <c r="B60" s="294">
        <f t="shared" si="1"/>
        <v>5</v>
      </c>
      <c r="C60"/>
      <c r="D60" s="466">
        <f>IFERROR(MATCH(BPZS[[#This Row],[ВидПрактика]],T_Практики[Практика и курсова работа],0),0)</f>
        <v>0</v>
      </c>
      <c r="E60" s="459" t="str">
        <f>IF(BPZS[[#This Row],[пВидПрактика]],INDEX(T_Практики[Група],BPZS[[#This Row],[пВидПрактика]]),"-")</f>
        <v>-</v>
      </c>
      <c r="F60" s="462" t="str">
        <f>IF(BPZS[[#This Row],[пВидПрактика]],INDEX(T_Практики[Ден],BPZS[[#This Row],[пВидПрактика]])*2,"-")</f>
        <v>-</v>
      </c>
      <c r="G60" s="466">
        <f>IFERROR(AND(BPZS[[#This Row],[ТО]]&lt;&gt;0,BPZS[[#This Row],[ФормаОб]]=0)*1,0)</f>
        <v>0</v>
      </c>
      <c r="H60" s="458">
        <f>IFERROR(AND(BPZS[[#This Row],[Изпитани]]&lt;&gt;0,LEN(BPZS[[#This Row],[Изпитващ]])=0)*1,0)</f>
        <v>0</v>
      </c>
      <c r="I60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60" s="864">
        <f>IFERROR(IF(BPZS[[#This Row],[ФормаОб]]=list!$A$55,Coef!$B$10,Coef!$B$9),0)</f>
        <v>0.5</v>
      </c>
      <c r="K60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60" s="464">
        <f>BPZS[[#This Row],[кИзпитващ]]*N(BPZS[[#This Row],[Изпитани]])</f>
        <v>0</v>
      </c>
      <c r="M60" s="877">
        <f>N(BPZS[[#This Row],[ТО]])*N(BPZS[[#This Row],[кTO]])</f>
        <v>0</v>
      </c>
      <c r="N60" s="690"/>
      <c r="O60" s="690"/>
      <c r="P60" s="689"/>
      <c r="Q60" s="758"/>
      <c r="R60" s="755"/>
      <c r="S60" s="755"/>
      <c r="T60" s="759"/>
      <c r="U60" s="692"/>
      <c r="V60" s="718"/>
      <c r="W60" s="719"/>
      <c r="X60" s="694"/>
      <c r="Y60" s="694"/>
      <c r="Z60" s="722"/>
      <c r="AA60" s="723"/>
      <c r="AB60" s="724"/>
      <c r="AJ60" s="121">
        <v>-1</v>
      </c>
    </row>
    <row r="61" spans="2:36" s="50" customFormat="1" hidden="1" x14ac:dyDescent="0.3">
      <c r="B61" s="294">
        <f t="shared" si="1"/>
        <v>6</v>
      </c>
      <c r="C61"/>
      <c r="D61" s="466">
        <f>IFERROR(MATCH(BPZS[[#This Row],[ВидПрактика]],T_Практики[Практика и курсова работа],0),0)</f>
        <v>0</v>
      </c>
      <c r="E61" s="459" t="str">
        <f>IF(BPZS[[#This Row],[пВидПрактика]],INDEX(T_Практики[Група],BPZS[[#This Row],[пВидПрактика]]),"-")</f>
        <v>-</v>
      </c>
      <c r="F61" s="462" t="str">
        <f>IF(BPZS[[#This Row],[пВидПрактика]],INDEX(T_Практики[Ден],BPZS[[#This Row],[пВидПрактика]])*2,"-")</f>
        <v>-</v>
      </c>
      <c r="G61" s="466">
        <f>IFERROR(AND(BPZS[[#This Row],[ТО]]&lt;&gt;0,BPZS[[#This Row],[ФормаОб]]=0)*1,0)</f>
        <v>0</v>
      </c>
      <c r="H61" s="458">
        <f>IFERROR(AND(BPZS[[#This Row],[Изпитани]]&lt;&gt;0,LEN(BPZS[[#This Row],[Изпитващ]])=0)*1,0)</f>
        <v>0</v>
      </c>
      <c r="I61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61" s="864">
        <f>IFERROR(IF(BPZS[[#This Row],[ФормаОб]]=list!$A$55,Coef!$B$10,Coef!$B$9),0)</f>
        <v>0.5</v>
      </c>
      <c r="K61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61" s="464">
        <f>BPZS[[#This Row],[кИзпитващ]]*N(BPZS[[#This Row],[Изпитани]])</f>
        <v>0</v>
      </c>
      <c r="M61" s="877">
        <f>N(BPZS[[#This Row],[ТО]])*N(BPZS[[#This Row],[кTO]])</f>
        <v>0</v>
      </c>
      <c r="N61" s="690"/>
      <c r="O61" s="690"/>
      <c r="P61" s="689"/>
      <c r="Q61" s="758"/>
      <c r="R61" s="755"/>
      <c r="S61" s="755"/>
      <c r="T61" s="759"/>
      <c r="U61" s="692"/>
      <c r="V61" s="718"/>
      <c r="W61" s="719"/>
      <c r="X61" s="694"/>
      <c r="Y61" s="694"/>
      <c r="Z61" s="722"/>
      <c r="AA61" s="723"/>
      <c r="AB61" s="724"/>
      <c r="AF61" s="41"/>
      <c r="AJ61" s="567">
        <v>-1</v>
      </c>
    </row>
    <row r="62" spans="2:36" s="50" customFormat="1" hidden="1" x14ac:dyDescent="0.3">
      <c r="B62" s="294">
        <f t="shared" si="1"/>
        <v>7</v>
      </c>
      <c r="C62"/>
      <c r="D62" s="466">
        <f>IFERROR(MATCH(BPZS[[#This Row],[ВидПрактика]],T_Практики[Практика и курсова работа],0),0)</f>
        <v>0</v>
      </c>
      <c r="E62" s="459" t="str">
        <f>IF(BPZS[[#This Row],[пВидПрактика]],INDEX(T_Практики[Група],BPZS[[#This Row],[пВидПрактика]]),"-")</f>
        <v>-</v>
      </c>
      <c r="F62" s="462" t="str">
        <f>IF(BPZS[[#This Row],[пВидПрактика]],INDEX(T_Практики[Ден],BPZS[[#This Row],[пВидПрактика]])*2,"-")</f>
        <v>-</v>
      </c>
      <c r="G62" s="466">
        <f>IFERROR(AND(BPZS[[#This Row],[ТО]]&lt;&gt;0,BPZS[[#This Row],[ФормаОб]]=0)*1,0)</f>
        <v>0</v>
      </c>
      <c r="H62" s="458">
        <f>IFERROR(AND(BPZS[[#This Row],[Изпитани]]&lt;&gt;0,LEN(BPZS[[#This Row],[Изпитващ]])=0)*1,0)</f>
        <v>0</v>
      </c>
      <c r="I62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62" s="864">
        <f>IFERROR(IF(BPZS[[#This Row],[ФормаОб]]=list!$A$55,Coef!$B$10,Coef!$B$9),0)</f>
        <v>0.5</v>
      </c>
      <c r="K62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62" s="464">
        <f>BPZS[[#This Row],[кИзпитващ]]*N(BPZS[[#This Row],[Изпитани]])</f>
        <v>0</v>
      </c>
      <c r="M62" s="877">
        <f>N(BPZS[[#This Row],[ТО]])*N(BPZS[[#This Row],[кTO]])</f>
        <v>0</v>
      </c>
      <c r="N62" s="690"/>
      <c r="O62" s="690"/>
      <c r="P62" s="689"/>
      <c r="Q62" s="758"/>
      <c r="R62" s="755"/>
      <c r="S62" s="755"/>
      <c r="T62" s="759"/>
      <c r="U62" s="692"/>
      <c r="V62" s="718"/>
      <c r="W62" s="719"/>
      <c r="X62" s="694"/>
      <c r="Y62" s="694"/>
      <c r="Z62" s="722"/>
      <c r="AA62" s="723"/>
      <c r="AB62" s="724"/>
      <c r="AF62" s="41"/>
      <c r="AJ62" s="567">
        <v>-1</v>
      </c>
    </row>
    <row r="63" spans="2:36" s="50" customFormat="1" hidden="1" x14ac:dyDescent="0.3">
      <c r="B63" s="294">
        <f t="shared" si="1"/>
        <v>8</v>
      </c>
      <c r="C63"/>
      <c r="D63" s="466">
        <f>IFERROR(MATCH(BPZS[[#This Row],[ВидПрактика]],T_Практики[Практика и курсова работа],0),0)</f>
        <v>0</v>
      </c>
      <c r="E63" s="459" t="str">
        <f>IF(BPZS[[#This Row],[пВидПрактика]],INDEX(T_Практики[Група],BPZS[[#This Row],[пВидПрактика]]),"-")</f>
        <v>-</v>
      </c>
      <c r="F63" s="462" t="str">
        <f>IF(BPZS[[#This Row],[пВидПрактика]],INDEX(T_Практики[Ден],BPZS[[#This Row],[пВидПрактика]])*2,"-")</f>
        <v>-</v>
      </c>
      <c r="G63" s="466">
        <f>IFERROR(AND(BPZS[[#This Row],[ТО]]&lt;&gt;0,BPZS[[#This Row],[ФормаОб]]=0)*1,0)</f>
        <v>0</v>
      </c>
      <c r="H63" s="458">
        <f>IFERROR(AND(BPZS[[#This Row],[Изпитани]]&lt;&gt;0,LEN(BPZS[[#This Row],[Изпитващ]])=0)*1,0)</f>
        <v>0</v>
      </c>
      <c r="I63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63" s="864">
        <f>IFERROR(IF(BPZS[[#This Row],[ФормаОб]]=list!$A$55,Coef!$B$10,Coef!$B$9),0)</f>
        <v>0.5</v>
      </c>
      <c r="K63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63" s="464">
        <f>BPZS[[#This Row],[кИзпитващ]]*N(BPZS[[#This Row],[Изпитани]])</f>
        <v>0</v>
      </c>
      <c r="M63" s="877">
        <f>N(BPZS[[#This Row],[ТО]])*N(BPZS[[#This Row],[кTO]])</f>
        <v>0</v>
      </c>
      <c r="N63" s="690"/>
      <c r="O63" s="690"/>
      <c r="P63" s="689"/>
      <c r="Q63" s="758"/>
      <c r="R63" s="755"/>
      <c r="S63" s="755"/>
      <c r="T63" s="759"/>
      <c r="U63" s="692"/>
      <c r="V63" s="718"/>
      <c r="W63" s="719"/>
      <c r="X63" s="694"/>
      <c r="Y63" s="694"/>
      <c r="Z63" s="722"/>
      <c r="AA63" s="723"/>
      <c r="AB63" s="724"/>
      <c r="AF63" s="41"/>
      <c r="AJ63" s="567">
        <v>-1</v>
      </c>
    </row>
    <row r="64" spans="2:36" s="50" customFormat="1" hidden="1" x14ac:dyDescent="0.3">
      <c r="B64" s="294">
        <f t="shared" si="1"/>
        <v>9</v>
      </c>
      <c r="C64"/>
      <c r="D64" s="466">
        <f>IFERROR(MATCH(BPZS[[#This Row],[ВидПрактика]],T_Практики[Практика и курсова работа],0),0)</f>
        <v>0</v>
      </c>
      <c r="E64" s="459" t="str">
        <f>IF(BPZS[[#This Row],[пВидПрактика]],INDEX(T_Практики[Група],BPZS[[#This Row],[пВидПрактика]]),"-")</f>
        <v>-</v>
      </c>
      <c r="F64" s="462" t="str">
        <f>IF(BPZS[[#This Row],[пВидПрактика]],INDEX(T_Практики[Ден],BPZS[[#This Row],[пВидПрактика]])*2,"-")</f>
        <v>-</v>
      </c>
      <c r="G64" s="466">
        <f>IFERROR(AND(BPZS[[#This Row],[ТО]]&lt;&gt;0,BPZS[[#This Row],[ФормаОб]]=0)*1,0)</f>
        <v>0</v>
      </c>
      <c r="H64" s="458">
        <f>IFERROR(AND(BPZS[[#This Row],[Изпитани]]&lt;&gt;0,LEN(BPZS[[#This Row],[Изпитващ]])=0)*1,0)</f>
        <v>0</v>
      </c>
      <c r="I64" s="473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64" s="864">
        <f>IFERROR(IF(BPZS[[#This Row],[ФормаОб]]=list!$A$55,Coef!$B$10,Coef!$B$9),0)</f>
        <v>0.5</v>
      </c>
      <c r="K64" s="533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64" s="464">
        <f>BPZS[[#This Row],[кИзпитващ]]*N(BPZS[[#This Row],[Изпитани]])</f>
        <v>0</v>
      </c>
      <c r="M64" s="877">
        <f>N(BPZS[[#This Row],[ТО]])*N(BPZS[[#This Row],[кTO]])</f>
        <v>0</v>
      </c>
      <c r="N64" s="690"/>
      <c r="O64" s="690"/>
      <c r="P64" s="689"/>
      <c r="Q64" s="758"/>
      <c r="R64" s="755"/>
      <c r="S64" s="755"/>
      <c r="T64" s="759"/>
      <c r="U64" s="692"/>
      <c r="V64" s="718"/>
      <c r="W64" s="719"/>
      <c r="X64" s="694"/>
      <c r="Y64" s="694"/>
      <c r="Z64" s="722"/>
      <c r="AA64" s="723"/>
      <c r="AB64" s="724"/>
      <c r="AF64" s="41"/>
      <c r="AJ64" s="567">
        <v>-1</v>
      </c>
    </row>
    <row r="65" spans="2:36" s="50" customFormat="1" ht="17.25" hidden="1" thickBot="1" x14ac:dyDescent="0.35">
      <c r="B65" s="294">
        <f t="shared" si="1"/>
        <v>10</v>
      </c>
      <c r="C65"/>
      <c r="D65" s="475">
        <f>IFERROR(MATCH(BPZS[[#This Row],[ВидПрактика]],T_Практики[Практика и курсова работа],0),0)</f>
        <v>0</v>
      </c>
      <c r="E65" s="467" t="str">
        <f>IF(BPZS[[#This Row],[пВидПрактика]],INDEX(T_Практики[Група],BPZS[[#This Row],[пВидПрактика]]),"-")</f>
        <v>-</v>
      </c>
      <c r="F65" s="463" t="str">
        <f>IF(BPZS[[#This Row],[пВидПрактика]],INDEX(T_Практики[Ден],BPZS[[#This Row],[пВидПрактика]])*2,"-")</f>
        <v>-</v>
      </c>
      <c r="G65" s="475">
        <f>IFERROR(AND(BPZS[[#This Row],[ТО]]&lt;&gt;0,BPZS[[#This Row],[ФормаОб]]=0)*1,0)</f>
        <v>0</v>
      </c>
      <c r="H65" s="468">
        <f>IFERROR(AND(BPZS[[#This Row],[Изпитани]]&lt;&gt;0,LEN(BPZS[[#This Row],[Изпитващ]])=0)*1,0)</f>
        <v>0</v>
      </c>
      <c r="I65" s="474">
        <f>IFERROR(IF(T(BPZS[[#This Row],[Изпитващ]])="",0,IF(AND('1. Планд'!$B$6=list!$A$11,BPZS[[#This Row],[ФормаОц]]=list!$A$66),Coef!$B$8,VLOOKUP(BPZS[[#This Row],[Изпитващ]],Koef.ocenqvane[],2,0))),0)</f>
        <v>0</v>
      </c>
      <c r="J65" s="865">
        <f>IFERROR(IF(BPZS[[#This Row],[ФормаОб]]=list!$A$55,Coef!$B$10,Coef!$B$9),0)</f>
        <v>0.5</v>
      </c>
      <c r="K65" s="534">
        <f>IFERROR(IF(BPZS[[#This Row],[пВидПрактика]]&gt;0,INDEX(T_Практики[Час],BPZS[[#This Row],[пВидПрактика]])*CHOOSE(BPZS[[#This Row],[уфГрупа]]+BPZS[[#This Row],[уфДен]]+1,0,N(BPZS[[#This Row],[Група]]),N(BPZS[[#This Row],[Ден]]),N(BPZS[[#This Row],[Група]])*N(BPZS[[#This Row],[Ден]])),0),0)</f>
        <v>0</v>
      </c>
      <c r="L65" s="465">
        <f>BPZS[[#This Row],[кИзпитващ]]*N(BPZS[[#This Row],[Изпитани]])</f>
        <v>0</v>
      </c>
      <c r="M65" s="878">
        <f>N(BPZS[[#This Row],[ТО]])*N(BPZS[[#This Row],[кTO]])</f>
        <v>0</v>
      </c>
      <c r="N65" s="690"/>
      <c r="O65" s="690"/>
      <c r="P65" s="689"/>
      <c r="Q65" s="761"/>
      <c r="R65" s="762"/>
      <c r="S65" s="762"/>
      <c r="T65" s="763"/>
      <c r="U65" s="693"/>
      <c r="V65" s="720"/>
      <c r="W65" s="721"/>
      <c r="X65" s="694"/>
      <c r="Y65" s="694"/>
      <c r="Z65" s="722"/>
      <c r="AA65" s="723"/>
      <c r="AB65" s="724"/>
      <c r="AF65" s="41"/>
      <c r="AJ65" s="567">
        <v>-1</v>
      </c>
    </row>
    <row r="66" spans="2:36" s="48" customFormat="1" ht="9.9499999999999993" hidden="1" customHeight="1" x14ac:dyDescent="0.3">
      <c r="B66" s="131" t="s">
        <v>417</v>
      </c>
      <c r="C66"/>
      <c r="D66" s="50"/>
      <c r="E66" s="50"/>
      <c r="F66" s="50"/>
      <c r="G66" s="50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 s="50"/>
      <c r="AA66" s="50"/>
      <c r="AB66" s="50"/>
      <c r="AJ66" s="566">
        <v>-1</v>
      </c>
    </row>
    <row r="67" spans="2:36" s="48" customFormat="1" ht="26.25" hidden="1" thickBot="1" x14ac:dyDescent="0.35">
      <c r="B67" s="216" t="s">
        <v>420</v>
      </c>
      <c r="C67"/>
      <c r="D67" s="41"/>
      <c r="E67" s="41"/>
      <c r="F67" s="41"/>
      <c r="G67" s="41"/>
      <c r="H67" s="41"/>
      <c r="I67" s="41"/>
      <c r="J67" s="41"/>
      <c r="K67" s="41"/>
      <c r="L67" s="41"/>
      <c r="M67" s="41" t="str">
        <f>IF(M25,3,"1.3")</f>
        <v>1.3</v>
      </c>
      <c r="N67" s="1578" t="str">
        <f>M67&amp;". ОКС ""бакалавър"" и ""магистър"" след средно образование – дипломиране – ЗИМЕН семестър"</f>
        <v>1.3. ОКС "бакалавър" и "магистър" след средно образование – дипломиране – ЗИМЕН семестър</v>
      </c>
      <c r="O67" s="1578"/>
      <c r="P67" s="1575"/>
      <c r="Q67" s="1575"/>
      <c r="R67" s="1575"/>
      <c r="S67" s="289"/>
      <c r="T67" s="41"/>
      <c r="U67" s="41"/>
      <c r="V67" s="41"/>
      <c r="W67" s="41"/>
      <c r="X67" s="41"/>
      <c r="Y67" s="41"/>
      <c r="Z67" s="41"/>
      <c r="AA67" s="41"/>
      <c r="AB67" s="41"/>
      <c r="AJ67" s="566">
        <v>-1</v>
      </c>
    </row>
    <row r="68" spans="2:36" s="48" customFormat="1" ht="20.25" hidden="1" x14ac:dyDescent="0.3">
      <c r="B68" s="131" t="s">
        <v>418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1548" t="s">
        <v>17</v>
      </c>
      <c r="O68" s="1546" t="s">
        <v>18</v>
      </c>
      <c r="P68" s="1524" t="s">
        <v>335</v>
      </c>
      <c r="Q68" s="1525"/>
      <c r="R68" s="1526"/>
      <c r="S68" s="41"/>
      <c r="T68" s="41"/>
      <c r="U68" s="41"/>
      <c r="V68" s="41"/>
      <c r="W68" s="41"/>
      <c r="X68" s="41"/>
      <c r="Y68" s="41"/>
      <c r="Z68" s="41"/>
      <c r="AA68" s="41"/>
      <c r="AB68" s="41"/>
      <c r="AJ68" s="566">
        <v>-1</v>
      </c>
    </row>
    <row r="69" spans="2:36" ht="29.25" hidden="1" customHeight="1" thickBot="1" x14ac:dyDescent="0.35">
      <c r="B69" s="131" t="s">
        <v>419</v>
      </c>
      <c r="N69" s="1549"/>
      <c r="O69" s="1547"/>
      <c r="P69" s="279" t="s">
        <v>397</v>
      </c>
      <c r="Q69" s="280" t="s">
        <v>398</v>
      </c>
      <c r="R69" s="281" t="s">
        <v>399</v>
      </c>
      <c r="AJ69" s="121">
        <v>-1</v>
      </c>
    </row>
    <row r="70" spans="2:36" ht="20.25" hidden="1" x14ac:dyDescent="0.3">
      <c r="B70" s="131" t="s">
        <v>425</v>
      </c>
      <c r="N70" s="134" t="s">
        <v>17</v>
      </c>
      <c r="O70" s="134" t="s">
        <v>18</v>
      </c>
      <c r="P70" s="140" t="s">
        <v>362</v>
      </c>
      <c r="Q70" s="134" t="s">
        <v>398</v>
      </c>
      <c r="R70" s="137" t="s">
        <v>629</v>
      </c>
      <c r="AJ70" s="121">
        <v>-1</v>
      </c>
    </row>
    <row r="71" spans="2:36" s="50" customFormat="1" hidden="1" x14ac:dyDescent="0.3">
      <c r="B71" s="294">
        <f>N(B70)+1</f>
        <v>1</v>
      </c>
      <c r="G71" s="41"/>
      <c r="N71" s="690"/>
      <c r="O71" s="684"/>
      <c r="P71" s="401"/>
      <c r="Q71" s="402"/>
      <c r="R71" s="403"/>
      <c r="AJ71" s="567">
        <v>-1</v>
      </c>
    </row>
    <row r="72" spans="2:36" s="50" customFormat="1" hidden="1" x14ac:dyDescent="0.3">
      <c r="B72" s="294">
        <f>N(B71)+1</f>
        <v>2</v>
      </c>
      <c r="N72" s="695"/>
      <c r="O72" s="689"/>
      <c r="P72" s="404"/>
      <c r="Q72" s="405"/>
      <c r="R72" s="406"/>
      <c r="AJ72" s="567">
        <v>-1</v>
      </c>
    </row>
    <row r="73" spans="2:36" s="50" customFormat="1" hidden="1" x14ac:dyDescent="0.3">
      <c r="B73" s="294">
        <f>N(B72)+1</f>
        <v>3</v>
      </c>
      <c r="N73" s="690"/>
      <c r="O73" s="684"/>
      <c r="P73" s="401"/>
      <c r="Q73" s="402"/>
      <c r="R73" s="403"/>
      <c r="AJ73" s="567">
        <v>-1</v>
      </c>
    </row>
    <row r="74" spans="2:36" ht="9.9499999999999993" customHeight="1" x14ac:dyDescent="0.3">
      <c r="B74" s="131" t="s">
        <v>417</v>
      </c>
      <c r="L74" s="41" t="s">
        <v>412</v>
      </c>
      <c r="M74" s="41" t="b">
        <f>ПЕРИОД!D10="Летен"</f>
        <v>1</v>
      </c>
      <c r="N74"/>
      <c r="O74"/>
      <c r="P74"/>
      <c r="Q74"/>
      <c r="R74"/>
      <c r="AJ74" s="121">
        <v>-1</v>
      </c>
    </row>
    <row r="75" spans="2:36" ht="27" customHeight="1" x14ac:dyDescent="0.3">
      <c r="B75" s="216" t="s">
        <v>420</v>
      </c>
      <c r="M75" s="41">
        <f>IF($M$74,1,"2.1")</f>
        <v>1</v>
      </c>
      <c r="N75" s="1554" t="str">
        <f>M75&amp;". ОКС ""бакалавър"" и ""магистър"" след средно образование – аудиторна заетост и изпитани студенти – ЛЕТЕН семестър"</f>
        <v>1. ОКС "бакалавър" и "магистър" след средно образование – аудиторна заетост и изпитани студенти – ЛЕТЕН семестър</v>
      </c>
      <c r="O75" s="1554"/>
      <c r="P75" s="1554"/>
      <c r="Q75" s="1554"/>
      <c r="R75" s="1554"/>
      <c r="S75" s="1554"/>
      <c r="T75" s="1554"/>
      <c r="U75" s="1554"/>
      <c r="V75" s="1554"/>
      <c r="W75" s="1554"/>
      <c r="X75" s="1554"/>
      <c r="Y75" s="1554"/>
      <c r="Z75" s="1554"/>
      <c r="AA75" s="1554"/>
      <c r="AB75" s="1554"/>
      <c r="AC75" s="289"/>
      <c r="AI75" s="121">
        <v>-1</v>
      </c>
    </row>
    <row r="76" spans="2:36" ht="21" thickBot="1" x14ac:dyDescent="0.35">
      <c r="B76" s="131" t="s">
        <v>477</v>
      </c>
      <c r="N76" s="1576" t="s">
        <v>903</v>
      </c>
      <c r="O76" s="1577"/>
      <c r="P76" s="1577"/>
      <c r="Q76" s="1577"/>
      <c r="R76" s="1577"/>
      <c r="S76" s="1577"/>
      <c r="T76" s="1577"/>
      <c r="U76" s="1577"/>
      <c r="V76" s="1577"/>
      <c r="W76" s="1577"/>
      <c r="X76" s="1577"/>
      <c r="Y76" s="1577"/>
      <c r="Z76" s="1577"/>
      <c r="AA76" s="1577"/>
      <c r="AB76" s="1577"/>
      <c r="AI76" s="121">
        <v>-1</v>
      </c>
    </row>
    <row r="77" spans="2:36" ht="21" thickBot="1" x14ac:dyDescent="0.35">
      <c r="B77" s="131" t="s">
        <v>418</v>
      </c>
      <c r="C77" s="123"/>
      <c r="D77" s="123"/>
      <c r="E77" s="123"/>
      <c r="F77" s="123"/>
      <c r="G77" s="123"/>
      <c r="H77" s="123"/>
      <c r="I77" s="121"/>
      <c r="J77" s="121"/>
      <c r="L77" s="123"/>
      <c r="M77" s="123"/>
      <c r="N77" s="1550" t="s">
        <v>16</v>
      </c>
      <c r="O77" s="1552" t="s">
        <v>473</v>
      </c>
      <c r="P77" s="1561" t="s">
        <v>18</v>
      </c>
      <c r="Q77" s="1550" t="s">
        <v>19</v>
      </c>
      <c r="R77" s="1552" t="s">
        <v>20</v>
      </c>
      <c r="S77" s="1552" t="s">
        <v>569</v>
      </c>
      <c r="T77" s="1555" t="s">
        <v>508</v>
      </c>
      <c r="U77" s="1558" t="str">
        <f>IF(ПЕРИОД!D10="План","Възложени часове","Проведени часове")</f>
        <v>Проведени часове</v>
      </c>
      <c r="V77" s="1522"/>
      <c r="W77" s="1550" t="s">
        <v>21</v>
      </c>
      <c r="X77" s="1552" t="s">
        <v>474</v>
      </c>
      <c r="Y77" s="1555" t="s">
        <v>312</v>
      </c>
      <c r="Z77" s="1557" t="s">
        <v>335</v>
      </c>
      <c r="AA77" s="1552"/>
      <c r="AB77" s="1555"/>
      <c r="AI77" s="121">
        <v>-1</v>
      </c>
    </row>
    <row r="78" spans="2:36" ht="33" customHeight="1" thickBot="1" x14ac:dyDescent="0.35">
      <c r="B78" s="131" t="s">
        <v>419</v>
      </c>
      <c r="C78" s="1566" t="s">
        <v>316</v>
      </c>
      <c r="D78" s="1567"/>
      <c r="E78" s="1567"/>
      <c r="F78" s="1566" t="s">
        <v>313</v>
      </c>
      <c r="G78" s="1567"/>
      <c r="H78" s="1567"/>
      <c r="I78" s="1568"/>
      <c r="J78" s="1567" t="s">
        <v>339</v>
      </c>
      <c r="K78" s="1567"/>
      <c r="L78" s="1567"/>
      <c r="M78" s="1567"/>
      <c r="N78" s="1551"/>
      <c r="O78" s="1553"/>
      <c r="P78" s="1562"/>
      <c r="Q78" s="1551"/>
      <c r="R78" s="1553"/>
      <c r="S78" s="1553"/>
      <c r="T78" s="1556"/>
      <c r="U78" s="284" t="s">
        <v>329</v>
      </c>
      <c r="V78" s="285" t="s">
        <v>393</v>
      </c>
      <c r="W78" s="1551"/>
      <c r="X78" s="1553"/>
      <c r="Y78" s="1556"/>
      <c r="Z78" s="286" t="s">
        <v>330</v>
      </c>
      <c r="AA78" s="272" t="s">
        <v>331</v>
      </c>
      <c r="AB78" s="273" t="s">
        <v>394</v>
      </c>
      <c r="AI78" s="121">
        <v>-1</v>
      </c>
    </row>
    <row r="79" spans="2:36" s="46" customFormat="1" ht="21" hidden="1" thickBot="1" x14ac:dyDescent="0.25">
      <c r="B79" s="131" t="s">
        <v>425</v>
      </c>
      <c r="C79" s="142" t="s">
        <v>317</v>
      </c>
      <c r="D79" s="143" t="s">
        <v>318</v>
      </c>
      <c r="E79" s="143" t="s">
        <v>338</v>
      </c>
      <c r="F79" s="142" t="s">
        <v>314</v>
      </c>
      <c r="G79" s="143" t="s">
        <v>423</v>
      </c>
      <c r="H79" s="143" t="s">
        <v>396</v>
      </c>
      <c r="I79" s="885" t="s">
        <v>336</v>
      </c>
      <c r="J79" s="143" t="s">
        <v>341</v>
      </c>
      <c r="K79" s="143" t="s">
        <v>340</v>
      </c>
      <c r="L79" s="143" t="s">
        <v>392</v>
      </c>
      <c r="M79" s="887" t="s">
        <v>337</v>
      </c>
      <c r="N79" s="241" t="s">
        <v>16</v>
      </c>
      <c r="O79" s="242" t="s">
        <v>17</v>
      </c>
      <c r="P79" s="242" t="s">
        <v>18</v>
      </c>
      <c r="Q79" s="243" t="s">
        <v>19</v>
      </c>
      <c r="R79" s="244" t="s">
        <v>20</v>
      </c>
      <c r="S79" s="245" t="s">
        <v>630</v>
      </c>
      <c r="T79" s="246" t="s">
        <v>628</v>
      </c>
      <c r="U79" s="242" t="s">
        <v>334</v>
      </c>
      <c r="V79" s="247" t="s">
        <v>342</v>
      </c>
      <c r="W79" s="241" t="s">
        <v>21</v>
      </c>
      <c r="X79" s="245" t="s">
        <v>631</v>
      </c>
      <c r="Y79" s="242" t="s">
        <v>333</v>
      </c>
      <c r="Z79" s="241" t="s">
        <v>330</v>
      </c>
      <c r="AA79" s="242" t="s">
        <v>86</v>
      </c>
      <c r="AB79" s="247" t="s">
        <v>332</v>
      </c>
      <c r="AI79" s="565">
        <v>-1</v>
      </c>
    </row>
    <row r="80" spans="2:36" s="47" customFormat="1" x14ac:dyDescent="0.3">
      <c r="B80" s="294">
        <f t="shared" ref="B80:B98" si="2">N(B79)+1</f>
        <v>1</v>
      </c>
      <c r="C80" s="135">
        <f>AND(BAZLS[[#This Row],[Дисциплина]]&lt;&gt;0,BAZLS[[#This Row],[Вид]]&lt;&gt;list!A$53,BAZLS[[#This Row],[Вид]]&lt;&gt;list!A$54,BAZLS[[#This Row],[Вид]]&lt;&gt;list!A$55)*1</f>
        <v>1</v>
      </c>
      <c r="D80" s="135">
        <f>AND(LEN(BAZLS[[#This Row],[Дисциплина]])&gt;0,OR(BAZLS[[#This Row],[Лекции]]&gt;0,BAZLS[[#This Row],[Упражнения]]&gt;0),BAZLS[[#This Row],[Студенти]]=0)*1</f>
        <v>0</v>
      </c>
      <c r="E80" s="135">
        <f>AND(N(BAZLS[[#This Row],[Изпитани]])&gt;0,BAZLS[[#This Row],[Изпитващ]]=0)*1</f>
        <v>0</v>
      </c>
      <c r="F80" s="136">
        <f>IFERROR(VLOOKUP(BAZLS[[#This Row],[Език]],Коефициент_Eзик[],2,0),0)</f>
        <v>1</v>
      </c>
      <c r="G80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0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0" s="886">
        <f>IFERROR(IF(BAZLS[[#This Row],[ФормаОб]]=list!$A$55,Coef!$B$10,Coef!$B$9),0)</f>
        <v>0.5</v>
      </c>
      <c r="J80" s="135">
        <f>N(BAZLS[[#This Row],[Лекции]])*BAZLS[[#This Row],[кЕзик]]*BAZLS[[#This Row],[кСтуденти]]*кЛекции</f>
        <v>0</v>
      </c>
      <c r="K80" s="135">
        <f>N(BAZLS[[#This Row],[Упражнения]])*BAZLS[[#This Row],[кЕзик]]*BAZLS[[#This Row],[кСтуденти]]*кУпражнение</f>
        <v>0</v>
      </c>
      <c r="L80" s="135">
        <f>N(BAZLS[[#This Row],[Изпитани]])*BAZLS[[#This Row],[кИзпитващ]]</f>
        <v>0</v>
      </c>
      <c r="M80" s="869">
        <f>BAZLS[[#This Row],[ТО]]*BAZLS[[#This Row],[кTO]]</f>
        <v>0</v>
      </c>
      <c r="N80" s="696" t="s">
        <v>691</v>
      </c>
      <c r="O80" s="697" t="s">
        <v>691</v>
      </c>
      <c r="P80" s="700" t="s">
        <v>691</v>
      </c>
      <c r="Q80" s="765"/>
      <c r="R80" s="766"/>
      <c r="S80" s="734"/>
      <c r="T80" s="303"/>
      <c r="U80" s="304"/>
      <c r="V80" s="305"/>
      <c r="W80" s="731" t="s">
        <v>84</v>
      </c>
      <c r="X80" s="773"/>
      <c r="Y80" s="700"/>
      <c r="Z80" s="306"/>
      <c r="AA80" s="299"/>
      <c r="AB80" s="300"/>
      <c r="AI80" s="47">
        <v>-1</v>
      </c>
    </row>
    <row r="81" spans="2:35" s="47" customFormat="1" x14ac:dyDescent="0.3">
      <c r="B81" s="294">
        <f t="shared" si="2"/>
        <v>2</v>
      </c>
      <c r="C81" s="135">
        <f>AND(BAZLS[[#This Row],[Дисциплина]]&lt;&gt;0,BAZLS[[#This Row],[Вид]]&lt;&gt;list!A$53,BAZLS[[#This Row],[Вид]]&lt;&gt;list!A$54,BAZLS[[#This Row],[Вид]]&lt;&gt;list!A$55)*1</f>
        <v>1</v>
      </c>
      <c r="D81" s="135">
        <f>AND(LEN(BAZLS[[#This Row],[Дисциплина]])&gt;0,OR(BAZLS[[#This Row],[Лекции]]&gt;0,BAZLS[[#This Row],[Упражнения]]&gt;0),BAZLS[[#This Row],[Студенти]]=0)*1</f>
        <v>0</v>
      </c>
      <c r="E81" s="135">
        <f>AND(N(BAZLS[[#This Row],[Изпитани]])&gt;0,BAZLS[[#This Row],[Изпитващ]]=0)*1</f>
        <v>0</v>
      </c>
      <c r="F81" s="136">
        <f>IFERROR(VLOOKUP(BAZLS[[#This Row],[Език]],Коефициент_Eзик[],2,0),0)</f>
        <v>1</v>
      </c>
      <c r="G81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1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1" s="886">
        <f>IFERROR(IF(BAZLS[[#This Row],[ФормаОб]]=list!$A$55,Coef!$B$10,Coef!$B$9),0)</f>
        <v>0.5</v>
      </c>
      <c r="J81" s="135">
        <f>N(BAZLS[[#This Row],[Лекции]])*BAZLS[[#This Row],[кЕзик]]*BAZLS[[#This Row],[кСтуденти]]*кЛекции</f>
        <v>0</v>
      </c>
      <c r="K81" s="135">
        <f>N(BAZLS[[#This Row],[Упражнения]])*BAZLS[[#This Row],[кЕзик]]*BAZLS[[#This Row],[кСтуденти]]*кУпражнение</f>
        <v>0</v>
      </c>
      <c r="L81" s="135">
        <f>N(BAZLS[[#This Row],[Изпитани]])*BAZLS[[#This Row],[кИзпитващ]]</f>
        <v>0</v>
      </c>
      <c r="M81" s="869">
        <f>BAZLS[[#This Row],[ТО]]*BAZLS[[#This Row],[кTO]]</f>
        <v>0</v>
      </c>
      <c r="N81" s="696" t="s">
        <v>691</v>
      </c>
      <c r="O81" s="697" t="s">
        <v>691</v>
      </c>
      <c r="P81" s="700" t="s">
        <v>691</v>
      </c>
      <c r="Q81" s="765"/>
      <c r="R81" s="766"/>
      <c r="S81" s="734"/>
      <c r="T81" s="307"/>
      <c r="U81" s="308"/>
      <c r="V81" s="309"/>
      <c r="W81" s="731" t="s">
        <v>84</v>
      </c>
      <c r="X81" s="773"/>
      <c r="Y81" s="700"/>
      <c r="Z81" s="306"/>
      <c r="AA81" s="299"/>
      <c r="AB81" s="300"/>
      <c r="AI81" s="47">
        <v>-1</v>
      </c>
    </row>
    <row r="82" spans="2:35" s="47" customFormat="1" x14ac:dyDescent="0.3">
      <c r="B82" s="294">
        <f t="shared" si="2"/>
        <v>3</v>
      </c>
      <c r="C82" s="135">
        <f>AND(BAZLS[[#This Row],[Дисциплина]]&lt;&gt;0,BAZLS[[#This Row],[Вид]]&lt;&gt;list!A$53,BAZLS[[#This Row],[Вид]]&lt;&gt;list!A$54,BAZLS[[#This Row],[Вид]]&lt;&gt;list!A$55)*1</f>
        <v>1</v>
      </c>
      <c r="D82" s="135">
        <f>AND(LEN(BAZLS[[#This Row],[Дисциплина]])&gt;0,OR(BAZLS[[#This Row],[Лекции]]&gt;0,BAZLS[[#This Row],[Упражнения]]&gt;0),BAZLS[[#This Row],[Студенти]]=0)*1</f>
        <v>0</v>
      </c>
      <c r="E82" s="135">
        <f>AND(N(BAZLS[[#This Row],[Изпитани]])&gt;0,BAZLS[[#This Row],[Изпитващ]]=0)*1</f>
        <v>0</v>
      </c>
      <c r="F82" s="136">
        <f>IFERROR(VLOOKUP(BAZLS[[#This Row],[Език]],Коефициент_Eзик[],2,0),0)</f>
        <v>1</v>
      </c>
      <c r="G82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2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2" s="886">
        <f>IFERROR(IF(BAZLS[[#This Row],[ФормаОб]]=list!$A$55,Coef!$B$10,Coef!$B$9),0)</f>
        <v>0.5</v>
      </c>
      <c r="J82" s="135">
        <f>N(BAZLS[[#This Row],[Лекции]])*BAZLS[[#This Row],[кЕзик]]*BAZLS[[#This Row],[кСтуденти]]*кЛекции</f>
        <v>0</v>
      </c>
      <c r="K82" s="135">
        <f>N(BAZLS[[#This Row],[Упражнения]])*BAZLS[[#This Row],[кЕзик]]*BAZLS[[#This Row],[кСтуденти]]*кУпражнение</f>
        <v>0</v>
      </c>
      <c r="L82" s="135">
        <f>N(BAZLS[[#This Row],[Изпитани]])*BAZLS[[#This Row],[кИзпитващ]]</f>
        <v>0</v>
      </c>
      <c r="M82" s="869">
        <f>BAZLS[[#This Row],[ТО]]*BAZLS[[#This Row],[кTO]]</f>
        <v>0</v>
      </c>
      <c r="N82" s="677" t="s">
        <v>691</v>
      </c>
      <c r="O82" s="690" t="s">
        <v>691</v>
      </c>
      <c r="P82" s="684" t="s">
        <v>691</v>
      </c>
      <c r="Q82" s="765"/>
      <c r="R82" s="766"/>
      <c r="S82" s="734"/>
      <c r="T82" s="307"/>
      <c r="U82" s="308"/>
      <c r="V82" s="309"/>
      <c r="W82" s="731" t="s">
        <v>84</v>
      </c>
      <c r="X82" s="773"/>
      <c r="Y82" s="700"/>
      <c r="Z82" s="306"/>
      <c r="AA82" s="299"/>
      <c r="AB82" s="300"/>
      <c r="AI82" s="47">
        <v>-1</v>
      </c>
    </row>
    <row r="83" spans="2:35" s="47" customFormat="1" x14ac:dyDescent="0.3">
      <c r="B83" s="294">
        <f t="shared" si="2"/>
        <v>4</v>
      </c>
      <c r="C83" s="135">
        <f>AND(BAZLS[[#This Row],[Дисциплина]]&lt;&gt;0,BAZLS[[#This Row],[Вид]]&lt;&gt;list!A$53,BAZLS[[#This Row],[Вид]]&lt;&gt;list!A$54,BAZLS[[#This Row],[Вид]]&lt;&gt;list!A$55)*1</f>
        <v>1</v>
      </c>
      <c r="D83" s="135">
        <f>AND(LEN(BAZLS[[#This Row],[Дисциплина]])&gt;0,OR(BAZLS[[#This Row],[Лекции]]&gt;0,BAZLS[[#This Row],[Упражнения]]&gt;0),BAZLS[[#This Row],[Студенти]]=0)*1</f>
        <v>0</v>
      </c>
      <c r="E83" s="135">
        <f>AND(N(BAZLS[[#This Row],[Изпитани]])&gt;0,BAZLS[[#This Row],[Изпитващ]]=0)*1</f>
        <v>0</v>
      </c>
      <c r="F83" s="136">
        <f>IFERROR(VLOOKUP(BAZLS[[#This Row],[Език]],Коефициент_Eзик[],2,0),0)</f>
        <v>1</v>
      </c>
      <c r="G83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3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3" s="886">
        <f>IFERROR(IF(BAZLS[[#This Row],[ФормаОб]]=list!$A$55,Coef!$B$10,Coef!$B$9),0)</f>
        <v>0.5</v>
      </c>
      <c r="J83" s="135">
        <f>N(BAZLS[[#This Row],[Лекции]])*BAZLS[[#This Row],[кЕзик]]*BAZLS[[#This Row],[кСтуденти]]*кЛекции</f>
        <v>0</v>
      </c>
      <c r="K83" s="135">
        <f>N(BAZLS[[#This Row],[Упражнения]])*BAZLS[[#This Row],[кЕзик]]*BAZLS[[#This Row],[кСтуденти]]*кУпражнение</f>
        <v>0</v>
      </c>
      <c r="L83" s="135">
        <f>N(BAZLS[[#This Row],[Изпитани]])*BAZLS[[#This Row],[кИзпитващ]]</f>
        <v>0</v>
      </c>
      <c r="M83" s="869">
        <f>BAZLS[[#This Row],[ТО]]*BAZLS[[#This Row],[кTO]]</f>
        <v>0</v>
      </c>
      <c r="N83" s="767" t="s">
        <v>691</v>
      </c>
      <c r="O83" s="695" t="s">
        <v>691</v>
      </c>
      <c r="P83" s="689" t="s">
        <v>691</v>
      </c>
      <c r="Q83" s="765"/>
      <c r="R83" s="766"/>
      <c r="S83" s="734"/>
      <c r="T83" s="307"/>
      <c r="U83" s="308"/>
      <c r="V83" s="309"/>
      <c r="W83" s="731" t="s">
        <v>84</v>
      </c>
      <c r="X83" s="773"/>
      <c r="Y83" s="700"/>
      <c r="Z83" s="306"/>
      <c r="AA83" s="299"/>
      <c r="AB83" s="300"/>
      <c r="AI83" s="47">
        <v>-1</v>
      </c>
    </row>
    <row r="84" spans="2:35" s="47" customFormat="1" x14ac:dyDescent="0.3">
      <c r="B84" s="294">
        <f t="shared" si="2"/>
        <v>5</v>
      </c>
      <c r="C84" s="135">
        <f>AND(BAZLS[[#This Row],[Дисциплина]]&lt;&gt;0,BAZLS[[#This Row],[Вид]]&lt;&gt;list!A$53,BAZLS[[#This Row],[Вид]]&lt;&gt;list!A$54,BAZLS[[#This Row],[Вид]]&lt;&gt;list!A$55)*1</f>
        <v>1</v>
      </c>
      <c r="D84" s="135">
        <f>AND(LEN(BAZLS[[#This Row],[Дисциплина]])&gt;0,OR(BAZLS[[#This Row],[Лекции]]&gt;0,BAZLS[[#This Row],[Упражнения]]&gt;0),BAZLS[[#This Row],[Студенти]]=0)*1</f>
        <v>0</v>
      </c>
      <c r="E84" s="135">
        <f>AND(N(BAZLS[[#This Row],[Изпитани]])&gt;0,BAZLS[[#This Row],[Изпитващ]]=0)*1</f>
        <v>0</v>
      </c>
      <c r="F84" s="136">
        <f>IFERROR(VLOOKUP(BAZLS[[#This Row],[Език]],Коефициент_Eзик[],2,0),0)</f>
        <v>1</v>
      </c>
      <c r="G84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4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4" s="886">
        <f>IFERROR(IF(BAZLS[[#This Row],[ФормаОб]]=list!$A$55,Coef!$B$10,Coef!$B$9),0)</f>
        <v>0.5</v>
      </c>
      <c r="J84" s="135">
        <f>N(BAZLS[[#This Row],[Лекции]])*BAZLS[[#This Row],[кЕзик]]*BAZLS[[#This Row],[кСтуденти]]*кЛекции</f>
        <v>0</v>
      </c>
      <c r="K84" s="135">
        <f>N(BAZLS[[#This Row],[Упражнения]])*BAZLS[[#This Row],[кЕзик]]*BAZLS[[#This Row],[кСтуденти]]*кУпражнение</f>
        <v>0</v>
      </c>
      <c r="L84" s="135">
        <f>N(BAZLS[[#This Row],[Изпитани]])*BAZLS[[#This Row],[кИзпитващ]]</f>
        <v>0</v>
      </c>
      <c r="M84" s="869">
        <f>BAZLS[[#This Row],[ТО]]*BAZLS[[#This Row],[кTO]]</f>
        <v>0</v>
      </c>
      <c r="N84" s="677" t="s">
        <v>691</v>
      </c>
      <c r="O84" s="690" t="s">
        <v>691</v>
      </c>
      <c r="P84" s="684" t="s">
        <v>691</v>
      </c>
      <c r="Q84" s="765"/>
      <c r="R84" s="766"/>
      <c r="S84" s="734"/>
      <c r="T84" s="307"/>
      <c r="U84" s="308"/>
      <c r="V84" s="309"/>
      <c r="W84" s="731" t="s">
        <v>84</v>
      </c>
      <c r="X84" s="773"/>
      <c r="Y84" s="700"/>
      <c r="Z84" s="306"/>
      <c r="AA84" s="299"/>
      <c r="AB84" s="300"/>
      <c r="AI84" s="47">
        <v>-1</v>
      </c>
    </row>
    <row r="85" spans="2:35" s="47" customFormat="1" x14ac:dyDescent="0.3">
      <c r="B85" s="294">
        <f t="shared" si="2"/>
        <v>6</v>
      </c>
      <c r="C85" s="135">
        <f>AND(BAZLS[[#This Row],[Дисциплина]]&lt;&gt;0,BAZLS[[#This Row],[Вид]]&lt;&gt;list!A$53,BAZLS[[#This Row],[Вид]]&lt;&gt;list!A$54,BAZLS[[#This Row],[Вид]]&lt;&gt;list!A$55)*1</f>
        <v>1</v>
      </c>
      <c r="D85" s="135">
        <f>AND(LEN(BAZLS[[#This Row],[Дисциплина]])&gt;0,OR(BAZLS[[#This Row],[Лекции]]&gt;0,BAZLS[[#This Row],[Упражнения]]&gt;0),BAZLS[[#This Row],[Студенти]]=0)*1</f>
        <v>0</v>
      </c>
      <c r="E85" s="135">
        <f>AND(N(BAZLS[[#This Row],[Изпитани]])&gt;0,BAZLS[[#This Row],[Изпитващ]]=0)*1</f>
        <v>0</v>
      </c>
      <c r="F85" s="136">
        <f>IFERROR(VLOOKUP(BAZLS[[#This Row],[Език]],Коефициент_Eзик[],2,0),0)</f>
        <v>1</v>
      </c>
      <c r="G85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5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5" s="886">
        <f>IFERROR(IF(BAZLS[[#This Row],[ФормаОб]]=list!$A$55,Coef!$B$10,Coef!$B$9),0)</f>
        <v>0.5</v>
      </c>
      <c r="J85" s="135">
        <f>N(BAZLS[[#This Row],[Лекции]])*BAZLS[[#This Row],[кЕзик]]*BAZLS[[#This Row],[кСтуденти]]*кЛекции</f>
        <v>0</v>
      </c>
      <c r="K85" s="135">
        <f>N(BAZLS[[#This Row],[Упражнения]])*BAZLS[[#This Row],[кЕзик]]*BAZLS[[#This Row],[кСтуденти]]*кУпражнение</f>
        <v>0</v>
      </c>
      <c r="L85" s="135">
        <f>N(BAZLS[[#This Row],[Изпитани]])*BAZLS[[#This Row],[кИзпитващ]]</f>
        <v>0</v>
      </c>
      <c r="M85" s="869">
        <f>BAZLS[[#This Row],[ТО]]*BAZLS[[#This Row],[кTO]]</f>
        <v>0</v>
      </c>
      <c r="N85" s="767" t="s">
        <v>691</v>
      </c>
      <c r="O85" s="695" t="s">
        <v>691</v>
      </c>
      <c r="P85" s="689" t="s">
        <v>691</v>
      </c>
      <c r="Q85" s="765"/>
      <c r="R85" s="766"/>
      <c r="S85" s="734"/>
      <c r="T85" s="307"/>
      <c r="U85" s="308"/>
      <c r="V85" s="309"/>
      <c r="W85" s="731" t="s">
        <v>84</v>
      </c>
      <c r="X85" s="773"/>
      <c r="Y85" s="700"/>
      <c r="Z85" s="306"/>
      <c r="AA85" s="299"/>
      <c r="AB85" s="300"/>
      <c r="AI85" s="47">
        <v>-1</v>
      </c>
    </row>
    <row r="86" spans="2:35" s="47" customFormat="1" x14ac:dyDescent="0.3">
      <c r="B86" s="294">
        <f t="shared" si="2"/>
        <v>7</v>
      </c>
      <c r="C86" s="135">
        <f>AND(BAZLS[[#This Row],[Дисциплина]]&lt;&gt;0,BAZLS[[#This Row],[Вид]]&lt;&gt;list!A$53,BAZLS[[#This Row],[Вид]]&lt;&gt;list!A$54,BAZLS[[#This Row],[Вид]]&lt;&gt;list!A$55)*1</f>
        <v>1</v>
      </c>
      <c r="D86" s="135">
        <f>AND(LEN(BAZLS[[#This Row],[Дисциплина]])&gt;0,OR(BAZLS[[#This Row],[Лекции]]&gt;0,BAZLS[[#This Row],[Упражнения]]&gt;0),BAZLS[[#This Row],[Студенти]]=0)*1</f>
        <v>0</v>
      </c>
      <c r="E86" s="135">
        <f>AND(N(BAZLS[[#This Row],[Изпитани]])&gt;0,BAZLS[[#This Row],[Изпитващ]]=0)*1</f>
        <v>0</v>
      </c>
      <c r="F86" s="136">
        <f>IFERROR(VLOOKUP(BAZLS[[#This Row],[Език]],Коефициент_Eзик[],2,0),0)</f>
        <v>1</v>
      </c>
      <c r="G86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6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6" s="886">
        <f>IFERROR(IF(BAZLS[[#This Row],[ФормаОб]]=list!$A$55,Coef!$B$10,Coef!$B$9),0)</f>
        <v>0.5</v>
      </c>
      <c r="J86" s="135">
        <f>N(BAZLS[[#This Row],[Лекции]])*BAZLS[[#This Row],[кЕзик]]*BAZLS[[#This Row],[кСтуденти]]*кЛекции</f>
        <v>0</v>
      </c>
      <c r="K86" s="135">
        <f>N(BAZLS[[#This Row],[Упражнения]])*BAZLS[[#This Row],[кЕзик]]*BAZLS[[#This Row],[кСтуденти]]*кУпражнение</f>
        <v>0</v>
      </c>
      <c r="L86" s="135">
        <f>N(BAZLS[[#This Row],[Изпитани]])*BAZLS[[#This Row],[кИзпитващ]]</f>
        <v>0</v>
      </c>
      <c r="M86" s="869">
        <f>BAZLS[[#This Row],[ТО]]*BAZLS[[#This Row],[кTO]]</f>
        <v>0</v>
      </c>
      <c r="N86" s="677" t="s">
        <v>691</v>
      </c>
      <c r="O86" s="690" t="s">
        <v>691</v>
      </c>
      <c r="P86" s="684" t="s">
        <v>691</v>
      </c>
      <c r="Q86" s="765"/>
      <c r="R86" s="766"/>
      <c r="S86" s="734"/>
      <c r="T86" s="307"/>
      <c r="U86" s="308"/>
      <c r="V86" s="309"/>
      <c r="W86" s="731" t="s">
        <v>84</v>
      </c>
      <c r="X86" s="773"/>
      <c r="Y86" s="700"/>
      <c r="Z86" s="306"/>
      <c r="AA86" s="299"/>
      <c r="AB86" s="300"/>
      <c r="AI86" s="47">
        <v>-1</v>
      </c>
    </row>
    <row r="87" spans="2:35" s="47" customFormat="1" x14ac:dyDescent="0.3">
      <c r="B87" s="294">
        <f t="shared" si="2"/>
        <v>8</v>
      </c>
      <c r="C87" s="135">
        <f>AND(BAZLS[[#This Row],[Дисциплина]]&lt;&gt;0,BAZLS[[#This Row],[Вид]]&lt;&gt;list!A$53,BAZLS[[#This Row],[Вид]]&lt;&gt;list!A$54,BAZLS[[#This Row],[Вид]]&lt;&gt;list!A$55)*1</f>
        <v>1</v>
      </c>
      <c r="D87" s="135">
        <f>AND(LEN(BAZLS[[#This Row],[Дисциплина]])&gt;0,OR(BAZLS[[#This Row],[Лекции]]&gt;0,BAZLS[[#This Row],[Упражнения]]&gt;0),BAZLS[[#This Row],[Студенти]]=0)*1</f>
        <v>0</v>
      </c>
      <c r="E87" s="135">
        <f>AND(N(BAZLS[[#This Row],[Изпитани]])&gt;0,BAZLS[[#This Row],[Изпитващ]]=0)*1</f>
        <v>0</v>
      </c>
      <c r="F87" s="136">
        <f>IFERROR(VLOOKUP(BAZLS[[#This Row],[Език]],Коефициент_Eзик[],2,0),0)</f>
        <v>1</v>
      </c>
      <c r="G87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7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7" s="886">
        <f>IFERROR(IF(BAZLS[[#This Row],[ФормаОб]]=list!$A$55,Coef!$B$10,Coef!$B$9),0)</f>
        <v>0.5</v>
      </c>
      <c r="J87" s="135">
        <f>N(BAZLS[[#This Row],[Лекции]])*BAZLS[[#This Row],[кЕзик]]*BAZLS[[#This Row],[кСтуденти]]*кЛекции</f>
        <v>0</v>
      </c>
      <c r="K87" s="135">
        <f>N(BAZLS[[#This Row],[Упражнения]])*BAZLS[[#This Row],[кЕзик]]*BAZLS[[#This Row],[кСтуденти]]*кУпражнение</f>
        <v>0</v>
      </c>
      <c r="L87" s="135">
        <f>N(BAZLS[[#This Row],[Изпитани]])*BAZLS[[#This Row],[кИзпитващ]]</f>
        <v>0</v>
      </c>
      <c r="M87" s="869">
        <f>BAZLS[[#This Row],[ТО]]*BAZLS[[#This Row],[кTO]]</f>
        <v>0</v>
      </c>
      <c r="N87" s="767" t="s">
        <v>691</v>
      </c>
      <c r="O87" s="695" t="s">
        <v>691</v>
      </c>
      <c r="P87" s="689" t="s">
        <v>691</v>
      </c>
      <c r="Q87" s="765"/>
      <c r="R87" s="766"/>
      <c r="S87" s="734"/>
      <c r="T87" s="307"/>
      <c r="U87" s="308"/>
      <c r="V87" s="309"/>
      <c r="W87" s="731" t="s">
        <v>84</v>
      </c>
      <c r="X87" s="773"/>
      <c r="Y87" s="700"/>
      <c r="Z87" s="306"/>
      <c r="AA87" s="299"/>
      <c r="AB87" s="300"/>
      <c r="AI87" s="47">
        <v>-1</v>
      </c>
    </row>
    <row r="88" spans="2:35" s="47" customFormat="1" x14ac:dyDescent="0.3">
      <c r="B88" s="294">
        <f t="shared" si="2"/>
        <v>9</v>
      </c>
      <c r="C88" s="135">
        <f>AND(BAZLS[[#This Row],[Дисциплина]]&lt;&gt;0,BAZLS[[#This Row],[Вид]]&lt;&gt;list!A$53,BAZLS[[#This Row],[Вид]]&lt;&gt;list!A$54,BAZLS[[#This Row],[Вид]]&lt;&gt;list!A$55)*1</f>
        <v>1</v>
      </c>
      <c r="D88" s="135">
        <f>AND(LEN(BAZLS[[#This Row],[Дисциплина]])&gt;0,OR(BAZLS[[#This Row],[Лекции]]&gt;0,BAZLS[[#This Row],[Упражнения]]&gt;0),BAZLS[[#This Row],[Студенти]]=0)*1</f>
        <v>0</v>
      </c>
      <c r="E88" s="135">
        <f>AND(N(BAZLS[[#This Row],[Изпитани]])&gt;0,BAZLS[[#This Row],[Изпитващ]]=0)*1</f>
        <v>0</v>
      </c>
      <c r="F88" s="136">
        <f>IFERROR(VLOOKUP(BAZLS[[#This Row],[Език]],Коефициент_Eзик[],2,0),0)</f>
        <v>1</v>
      </c>
      <c r="G88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8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8" s="886">
        <f>IFERROR(IF(BAZLS[[#This Row],[ФормаОб]]=list!$A$55,Coef!$B$10,Coef!$B$9),0)</f>
        <v>0.5</v>
      </c>
      <c r="J88" s="135">
        <f>N(BAZLS[[#This Row],[Лекции]])*BAZLS[[#This Row],[кЕзик]]*BAZLS[[#This Row],[кСтуденти]]*кЛекции</f>
        <v>0</v>
      </c>
      <c r="K88" s="135">
        <f>N(BAZLS[[#This Row],[Упражнения]])*BAZLS[[#This Row],[кЕзик]]*BAZLS[[#This Row],[кСтуденти]]*кУпражнение</f>
        <v>0</v>
      </c>
      <c r="L88" s="135">
        <f>N(BAZLS[[#This Row],[Изпитани]])*BAZLS[[#This Row],[кИзпитващ]]</f>
        <v>0</v>
      </c>
      <c r="M88" s="869">
        <f>BAZLS[[#This Row],[ТО]]*BAZLS[[#This Row],[кTO]]</f>
        <v>0</v>
      </c>
      <c r="N88" s="677" t="s">
        <v>691</v>
      </c>
      <c r="O88" s="690" t="s">
        <v>691</v>
      </c>
      <c r="P88" s="684" t="s">
        <v>691</v>
      </c>
      <c r="Q88" s="765"/>
      <c r="R88" s="766"/>
      <c r="S88" s="734"/>
      <c r="T88" s="307"/>
      <c r="U88" s="308"/>
      <c r="V88" s="309"/>
      <c r="W88" s="731" t="s">
        <v>84</v>
      </c>
      <c r="X88" s="773"/>
      <c r="Y88" s="700"/>
      <c r="Z88" s="306"/>
      <c r="AA88" s="299"/>
      <c r="AB88" s="300"/>
      <c r="AI88" s="47">
        <v>-1</v>
      </c>
    </row>
    <row r="89" spans="2:35" s="47" customFormat="1" x14ac:dyDescent="0.3">
      <c r="B89" s="294">
        <f t="shared" si="2"/>
        <v>10</v>
      </c>
      <c r="C89" s="135">
        <f>AND(BAZLS[[#This Row],[Дисциплина]]&lt;&gt;0,BAZLS[[#This Row],[Вид]]&lt;&gt;list!A$53,BAZLS[[#This Row],[Вид]]&lt;&gt;list!A$54,BAZLS[[#This Row],[Вид]]&lt;&gt;list!A$55)*1</f>
        <v>1</v>
      </c>
      <c r="D89" s="135">
        <f>AND(LEN(BAZLS[[#This Row],[Дисциплина]])&gt;0,OR(BAZLS[[#This Row],[Лекции]]&gt;0,BAZLS[[#This Row],[Упражнения]]&gt;0),BAZLS[[#This Row],[Студенти]]=0)*1</f>
        <v>0</v>
      </c>
      <c r="E89" s="135">
        <f>AND(N(BAZLS[[#This Row],[Изпитани]])&gt;0,BAZLS[[#This Row],[Изпитващ]]=0)*1</f>
        <v>0</v>
      </c>
      <c r="F89" s="136">
        <f>IFERROR(VLOOKUP(BAZLS[[#This Row],[Език]],Коефициент_Eзик[],2,0),0)</f>
        <v>1</v>
      </c>
      <c r="G89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89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89" s="886">
        <f>IFERROR(IF(BAZLS[[#This Row],[ФормаОб]]=list!$A$55,Coef!$B$10,Coef!$B$9),0)</f>
        <v>0.5</v>
      </c>
      <c r="J89" s="135">
        <f>N(BAZLS[[#This Row],[Лекции]])*BAZLS[[#This Row],[кЕзик]]*BAZLS[[#This Row],[кСтуденти]]*кЛекции</f>
        <v>0</v>
      </c>
      <c r="K89" s="135">
        <f>N(BAZLS[[#This Row],[Упражнения]])*BAZLS[[#This Row],[кЕзик]]*BAZLS[[#This Row],[кСтуденти]]*кУпражнение</f>
        <v>0</v>
      </c>
      <c r="L89" s="135">
        <f>N(BAZLS[[#This Row],[Изпитани]])*BAZLS[[#This Row],[кИзпитващ]]</f>
        <v>0</v>
      </c>
      <c r="M89" s="869">
        <f>BAZLS[[#This Row],[ТО]]*BAZLS[[#This Row],[кTO]]</f>
        <v>0</v>
      </c>
      <c r="N89" s="767" t="s">
        <v>691</v>
      </c>
      <c r="O89" s="695" t="s">
        <v>691</v>
      </c>
      <c r="P89" s="689" t="s">
        <v>691</v>
      </c>
      <c r="Q89" s="765"/>
      <c r="R89" s="766"/>
      <c r="S89" s="734"/>
      <c r="T89" s="307"/>
      <c r="U89" s="308"/>
      <c r="V89" s="309"/>
      <c r="W89" s="731" t="s">
        <v>84</v>
      </c>
      <c r="X89" s="773"/>
      <c r="Y89" s="700"/>
      <c r="Z89" s="306"/>
      <c r="AA89" s="299"/>
      <c r="AB89" s="300"/>
      <c r="AI89" s="47">
        <v>-1</v>
      </c>
    </row>
    <row r="90" spans="2:35" s="47" customFormat="1" x14ac:dyDescent="0.3">
      <c r="B90" s="294">
        <f t="shared" si="2"/>
        <v>11</v>
      </c>
      <c r="C90" s="135">
        <f>AND(BAZLS[[#This Row],[Дисциплина]]&lt;&gt;0,BAZLS[[#This Row],[Вид]]&lt;&gt;list!A$53,BAZLS[[#This Row],[Вид]]&lt;&gt;list!A$54,BAZLS[[#This Row],[Вид]]&lt;&gt;list!A$55)*1</f>
        <v>1</v>
      </c>
      <c r="D90" s="135">
        <f>AND(LEN(BAZLS[[#This Row],[Дисциплина]])&gt;0,OR(BAZLS[[#This Row],[Лекции]]&gt;0,BAZLS[[#This Row],[Упражнения]]&gt;0),BAZLS[[#This Row],[Студенти]]=0)*1</f>
        <v>0</v>
      </c>
      <c r="E90" s="135">
        <f>AND(N(BAZLS[[#This Row],[Изпитани]])&gt;0,BAZLS[[#This Row],[Изпитващ]]=0)*1</f>
        <v>0</v>
      </c>
      <c r="F90" s="136">
        <f>IFERROR(VLOOKUP(BAZLS[[#This Row],[Език]],Коефициент_Eзик[],2,0),0)</f>
        <v>1</v>
      </c>
      <c r="G90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0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0" s="886">
        <f>IFERROR(IF(BAZLS[[#This Row],[ФормаОб]]=list!$A$55,Coef!$B$10,Coef!$B$9),0)</f>
        <v>0.5</v>
      </c>
      <c r="J90" s="135">
        <f>N(BAZLS[[#This Row],[Лекции]])*BAZLS[[#This Row],[кЕзик]]*BAZLS[[#This Row],[кСтуденти]]*кЛекции</f>
        <v>0</v>
      </c>
      <c r="K90" s="135">
        <f>N(BAZLS[[#This Row],[Упражнения]])*BAZLS[[#This Row],[кЕзик]]*BAZLS[[#This Row],[кСтуденти]]*кУпражнение</f>
        <v>0</v>
      </c>
      <c r="L90" s="135">
        <f>N(BAZLS[[#This Row],[Изпитани]])*BAZLS[[#This Row],[кИзпитващ]]</f>
        <v>0</v>
      </c>
      <c r="M90" s="869">
        <f>BAZLS[[#This Row],[ТО]]*BAZLS[[#This Row],[кTO]]</f>
        <v>0</v>
      </c>
      <c r="N90" s="677" t="s">
        <v>691</v>
      </c>
      <c r="O90" s="690" t="s">
        <v>691</v>
      </c>
      <c r="P90" s="684" t="s">
        <v>691</v>
      </c>
      <c r="Q90" s="765"/>
      <c r="R90" s="766"/>
      <c r="S90" s="734"/>
      <c r="T90" s="307"/>
      <c r="U90" s="308"/>
      <c r="V90" s="309"/>
      <c r="W90" s="731" t="s">
        <v>84</v>
      </c>
      <c r="X90" s="773"/>
      <c r="Y90" s="700"/>
      <c r="Z90" s="306"/>
      <c r="AA90" s="299"/>
      <c r="AB90" s="300"/>
      <c r="AI90" s="47">
        <v>-1</v>
      </c>
    </row>
    <row r="91" spans="2:35" s="47" customFormat="1" x14ac:dyDescent="0.3">
      <c r="B91" s="294">
        <f t="shared" si="2"/>
        <v>12</v>
      </c>
      <c r="C91" s="135">
        <f>AND(BAZLS[[#This Row],[Дисциплина]]&lt;&gt;0,BAZLS[[#This Row],[Вид]]&lt;&gt;list!A$53,BAZLS[[#This Row],[Вид]]&lt;&gt;list!A$54,BAZLS[[#This Row],[Вид]]&lt;&gt;list!A$55)*1</f>
        <v>1</v>
      </c>
      <c r="D91" s="135">
        <f>AND(LEN(BAZLS[[#This Row],[Дисциплина]])&gt;0,OR(BAZLS[[#This Row],[Лекции]]&gt;0,BAZLS[[#This Row],[Упражнения]]&gt;0),BAZLS[[#This Row],[Студенти]]=0)*1</f>
        <v>0</v>
      </c>
      <c r="E91" s="135">
        <f>AND(N(BAZLS[[#This Row],[Изпитани]])&gt;0,BAZLS[[#This Row],[Изпитващ]]=0)*1</f>
        <v>0</v>
      </c>
      <c r="F91" s="136">
        <f>IFERROR(VLOOKUP(BAZLS[[#This Row],[Език]],Коефициент_Eзик[],2,0),0)</f>
        <v>1</v>
      </c>
      <c r="G91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1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1" s="886">
        <f>IFERROR(IF(BAZLS[[#This Row],[ФормаОб]]=list!$A$55,Coef!$B$10,Coef!$B$9),0)</f>
        <v>0.5</v>
      </c>
      <c r="J91" s="135">
        <f>N(BAZLS[[#This Row],[Лекции]])*BAZLS[[#This Row],[кЕзик]]*BAZLS[[#This Row],[кСтуденти]]*кЛекции</f>
        <v>0</v>
      </c>
      <c r="K91" s="135">
        <f>N(BAZLS[[#This Row],[Упражнения]])*BAZLS[[#This Row],[кЕзик]]*BAZLS[[#This Row],[кСтуденти]]*кУпражнение</f>
        <v>0</v>
      </c>
      <c r="L91" s="135">
        <f>N(BAZLS[[#This Row],[Изпитани]])*BAZLS[[#This Row],[кИзпитващ]]</f>
        <v>0</v>
      </c>
      <c r="M91" s="869">
        <f>BAZLS[[#This Row],[ТО]]*BAZLS[[#This Row],[кTO]]</f>
        <v>0</v>
      </c>
      <c r="N91" s="767" t="s">
        <v>691</v>
      </c>
      <c r="O91" s="695" t="s">
        <v>691</v>
      </c>
      <c r="P91" s="689" t="s">
        <v>691</v>
      </c>
      <c r="Q91" s="765"/>
      <c r="R91" s="766"/>
      <c r="S91" s="734"/>
      <c r="T91" s="307"/>
      <c r="U91" s="308"/>
      <c r="V91" s="309"/>
      <c r="W91" s="731" t="s">
        <v>84</v>
      </c>
      <c r="X91" s="773"/>
      <c r="Y91" s="700"/>
      <c r="Z91" s="306"/>
      <c r="AA91" s="299"/>
      <c r="AB91" s="300"/>
      <c r="AI91" s="47">
        <v>-1</v>
      </c>
    </row>
    <row r="92" spans="2:35" s="47" customFormat="1" x14ac:dyDescent="0.3">
      <c r="B92" s="294">
        <f t="shared" si="2"/>
        <v>13</v>
      </c>
      <c r="C92" s="135">
        <f>AND(BAZLS[[#This Row],[Дисциплина]]&lt;&gt;0,BAZLS[[#This Row],[Вид]]&lt;&gt;list!A$53,BAZLS[[#This Row],[Вид]]&lt;&gt;list!A$54,BAZLS[[#This Row],[Вид]]&lt;&gt;list!A$55)*1</f>
        <v>1</v>
      </c>
      <c r="D92" s="135">
        <f>AND(LEN(BAZLS[[#This Row],[Дисциплина]])&gt;0,OR(BAZLS[[#This Row],[Лекции]]&gt;0,BAZLS[[#This Row],[Упражнения]]&gt;0),BAZLS[[#This Row],[Студенти]]=0)*1</f>
        <v>0</v>
      </c>
      <c r="E92" s="135">
        <f>AND(N(BAZLS[[#This Row],[Изпитани]])&gt;0,BAZLS[[#This Row],[Изпитващ]]=0)*1</f>
        <v>0</v>
      </c>
      <c r="F92" s="136">
        <f>IFERROR(VLOOKUP(BAZLS[[#This Row],[Език]],Коефициент_Eзик[],2,0),0)</f>
        <v>1</v>
      </c>
      <c r="G92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2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2" s="886">
        <f>IFERROR(IF(BAZLS[[#This Row],[ФормаОб]]=list!$A$55,Coef!$B$10,Coef!$B$9),0)</f>
        <v>0.5</v>
      </c>
      <c r="J92" s="135">
        <f>N(BAZLS[[#This Row],[Лекции]])*BAZLS[[#This Row],[кЕзик]]*BAZLS[[#This Row],[кСтуденти]]*кЛекции</f>
        <v>0</v>
      </c>
      <c r="K92" s="135">
        <f>N(BAZLS[[#This Row],[Упражнения]])*BAZLS[[#This Row],[кЕзик]]*BAZLS[[#This Row],[кСтуденти]]*кУпражнение</f>
        <v>0</v>
      </c>
      <c r="L92" s="135">
        <f>N(BAZLS[[#This Row],[Изпитани]])*BAZLS[[#This Row],[кИзпитващ]]</f>
        <v>0</v>
      </c>
      <c r="M92" s="869">
        <f>BAZLS[[#This Row],[ТО]]*BAZLS[[#This Row],[кTO]]</f>
        <v>0</v>
      </c>
      <c r="N92" s="677" t="s">
        <v>691</v>
      </c>
      <c r="O92" s="690" t="s">
        <v>691</v>
      </c>
      <c r="P92" s="684" t="s">
        <v>691</v>
      </c>
      <c r="Q92" s="765"/>
      <c r="R92" s="766"/>
      <c r="S92" s="734"/>
      <c r="T92" s="307"/>
      <c r="U92" s="308"/>
      <c r="V92" s="309"/>
      <c r="W92" s="731" t="s">
        <v>84</v>
      </c>
      <c r="X92" s="773"/>
      <c r="Y92" s="700"/>
      <c r="Z92" s="306"/>
      <c r="AA92" s="299"/>
      <c r="AB92" s="300"/>
      <c r="AI92" s="47">
        <v>-1</v>
      </c>
    </row>
    <row r="93" spans="2:35" s="47" customFormat="1" x14ac:dyDescent="0.3">
      <c r="B93" s="294">
        <f t="shared" si="2"/>
        <v>14</v>
      </c>
      <c r="C93" s="135">
        <f>AND(BAZLS[[#This Row],[Дисциплина]]&lt;&gt;0,BAZLS[[#This Row],[Вид]]&lt;&gt;list!A$53,BAZLS[[#This Row],[Вид]]&lt;&gt;list!A$54,BAZLS[[#This Row],[Вид]]&lt;&gt;list!A$55)*1</f>
        <v>1</v>
      </c>
      <c r="D93" s="135">
        <f>AND(LEN(BAZLS[[#This Row],[Дисциплина]])&gt;0,OR(BAZLS[[#This Row],[Лекции]]&gt;0,BAZLS[[#This Row],[Упражнения]]&gt;0),BAZLS[[#This Row],[Студенти]]=0)*1</f>
        <v>0</v>
      </c>
      <c r="E93" s="135">
        <f>AND(N(BAZLS[[#This Row],[Изпитани]])&gt;0,BAZLS[[#This Row],[Изпитващ]]=0)*1</f>
        <v>0</v>
      </c>
      <c r="F93" s="136">
        <f>IFERROR(VLOOKUP(BAZLS[[#This Row],[Език]],Коефициент_Eзик[],2,0),0)</f>
        <v>1</v>
      </c>
      <c r="G93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3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3" s="886">
        <f>IFERROR(IF(BAZLS[[#This Row],[ФормаОб]]=list!$A$55,Coef!$B$10,Coef!$B$9),0)</f>
        <v>0.5</v>
      </c>
      <c r="J93" s="135">
        <f>N(BAZLS[[#This Row],[Лекции]])*BAZLS[[#This Row],[кЕзик]]*BAZLS[[#This Row],[кСтуденти]]*кЛекции</f>
        <v>0</v>
      </c>
      <c r="K93" s="135">
        <f>N(BAZLS[[#This Row],[Упражнения]])*BAZLS[[#This Row],[кЕзик]]*BAZLS[[#This Row],[кСтуденти]]*кУпражнение</f>
        <v>0</v>
      </c>
      <c r="L93" s="135">
        <f>N(BAZLS[[#This Row],[Изпитани]])*BAZLS[[#This Row],[кИзпитващ]]</f>
        <v>0</v>
      </c>
      <c r="M93" s="869">
        <f>BAZLS[[#This Row],[ТО]]*BAZLS[[#This Row],[кTO]]</f>
        <v>0</v>
      </c>
      <c r="N93" s="767" t="s">
        <v>691</v>
      </c>
      <c r="O93" s="695" t="s">
        <v>691</v>
      </c>
      <c r="P93" s="689" t="s">
        <v>691</v>
      </c>
      <c r="Q93" s="765"/>
      <c r="R93" s="766"/>
      <c r="S93" s="734"/>
      <c r="T93" s="307"/>
      <c r="U93" s="308"/>
      <c r="V93" s="309"/>
      <c r="W93" s="731" t="s">
        <v>84</v>
      </c>
      <c r="X93" s="773"/>
      <c r="Y93" s="700"/>
      <c r="Z93" s="306"/>
      <c r="AA93" s="299"/>
      <c r="AB93" s="300"/>
      <c r="AI93" s="47">
        <v>-1</v>
      </c>
    </row>
    <row r="94" spans="2:35" s="47" customFormat="1" x14ac:dyDescent="0.3">
      <c r="B94" s="294">
        <f t="shared" si="2"/>
        <v>15</v>
      </c>
      <c r="C94" s="135">
        <f>AND(BAZLS[[#This Row],[Дисциплина]]&lt;&gt;0,BAZLS[[#This Row],[Вид]]&lt;&gt;list!A$53,BAZLS[[#This Row],[Вид]]&lt;&gt;list!A$54,BAZLS[[#This Row],[Вид]]&lt;&gt;list!A$55)*1</f>
        <v>1</v>
      </c>
      <c r="D94" s="135">
        <f>AND(LEN(BAZLS[[#This Row],[Дисциплина]])&gt;0,OR(BAZLS[[#This Row],[Лекции]]&gt;0,BAZLS[[#This Row],[Упражнения]]&gt;0),BAZLS[[#This Row],[Студенти]]=0)*1</f>
        <v>0</v>
      </c>
      <c r="E94" s="135">
        <f>AND(N(BAZLS[[#This Row],[Изпитани]])&gt;0,BAZLS[[#This Row],[Изпитващ]]=0)*1</f>
        <v>0</v>
      </c>
      <c r="F94" s="136">
        <f>IFERROR(VLOOKUP(BAZLS[[#This Row],[Език]],Коефициент_Eзик[],2,0),0)</f>
        <v>1</v>
      </c>
      <c r="G94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4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4" s="886">
        <f>IFERROR(IF(BAZLS[[#This Row],[ФормаОб]]=list!$A$55,Coef!$B$10,Coef!$B$9),0)</f>
        <v>0.5</v>
      </c>
      <c r="J94" s="135">
        <f>N(BAZLS[[#This Row],[Лекции]])*BAZLS[[#This Row],[кЕзик]]*BAZLS[[#This Row],[кСтуденти]]*кЛекции</f>
        <v>0</v>
      </c>
      <c r="K94" s="135">
        <f>N(BAZLS[[#This Row],[Упражнения]])*BAZLS[[#This Row],[кЕзик]]*BAZLS[[#This Row],[кСтуденти]]*кУпражнение</f>
        <v>0</v>
      </c>
      <c r="L94" s="135">
        <f>N(BAZLS[[#This Row],[Изпитани]])*BAZLS[[#This Row],[кИзпитващ]]</f>
        <v>0</v>
      </c>
      <c r="M94" s="869">
        <f>BAZLS[[#This Row],[ТО]]*BAZLS[[#This Row],[кTO]]</f>
        <v>0</v>
      </c>
      <c r="N94" s="677" t="s">
        <v>691</v>
      </c>
      <c r="O94" s="690" t="s">
        <v>691</v>
      </c>
      <c r="P94" s="684" t="s">
        <v>691</v>
      </c>
      <c r="Q94" s="765"/>
      <c r="R94" s="766"/>
      <c r="S94" s="734"/>
      <c r="T94" s="307"/>
      <c r="U94" s="308"/>
      <c r="V94" s="309"/>
      <c r="W94" s="731" t="s">
        <v>84</v>
      </c>
      <c r="X94" s="773"/>
      <c r="Y94" s="700"/>
      <c r="Z94" s="306"/>
      <c r="AA94" s="299"/>
      <c r="AB94" s="300"/>
      <c r="AI94" s="47">
        <v>-1</v>
      </c>
    </row>
    <row r="95" spans="2:35" s="47" customFormat="1" x14ac:dyDescent="0.3">
      <c r="B95" s="294">
        <f t="shared" si="2"/>
        <v>16</v>
      </c>
      <c r="C95" s="135">
        <f>AND(BAZLS[[#This Row],[Дисциплина]]&lt;&gt;0,BAZLS[[#This Row],[Вид]]&lt;&gt;list!A$53,BAZLS[[#This Row],[Вид]]&lt;&gt;list!A$54,BAZLS[[#This Row],[Вид]]&lt;&gt;list!A$55)*1</f>
        <v>1</v>
      </c>
      <c r="D95" s="135">
        <f>AND(LEN(BAZLS[[#This Row],[Дисциплина]])&gt;0,OR(BAZLS[[#This Row],[Лекции]]&gt;0,BAZLS[[#This Row],[Упражнения]]&gt;0),BAZLS[[#This Row],[Студенти]]=0)*1</f>
        <v>0</v>
      </c>
      <c r="E95" s="135">
        <f>AND(N(BAZLS[[#This Row],[Изпитани]])&gt;0,BAZLS[[#This Row],[Изпитващ]]=0)*1</f>
        <v>0</v>
      </c>
      <c r="F95" s="136">
        <f>IFERROR(VLOOKUP(BAZLS[[#This Row],[Език]],Коефициент_Eзик[],2,0),0)</f>
        <v>1</v>
      </c>
      <c r="G95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5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5" s="886">
        <f>IFERROR(IF(BAZLS[[#This Row],[ФормаОб]]=list!$A$55,Coef!$B$10,Coef!$B$9),0)</f>
        <v>0.5</v>
      </c>
      <c r="J95" s="135">
        <f>N(BAZLS[[#This Row],[Лекции]])*BAZLS[[#This Row],[кЕзик]]*BAZLS[[#This Row],[кСтуденти]]*кЛекции</f>
        <v>0</v>
      </c>
      <c r="K95" s="135">
        <f>N(BAZLS[[#This Row],[Упражнения]])*BAZLS[[#This Row],[кЕзик]]*BAZLS[[#This Row],[кСтуденти]]*кУпражнение</f>
        <v>0</v>
      </c>
      <c r="L95" s="135">
        <f>N(BAZLS[[#This Row],[Изпитани]])*BAZLS[[#This Row],[кИзпитващ]]</f>
        <v>0</v>
      </c>
      <c r="M95" s="869">
        <f>BAZLS[[#This Row],[ТО]]*BAZLS[[#This Row],[кTO]]</f>
        <v>0</v>
      </c>
      <c r="N95" s="767" t="s">
        <v>691</v>
      </c>
      <c r="O95" s="695" t="s">
        <v>691</v>
      </c>
      <c r="P95" s="689" t="s">
        <v>691</v>
      </c>
      <c r="Q95" s="765"/>
      <c r="R95" s="766"/>
      <c r="S95" s="734"/>
      <c r="T95" s="307"/>
      <c r="U95" s="308"/>
      <c r="V95" s="309"/>
      <c r="W95" s="731" t="s">
        <v>84</v>
      </c>
      <c r="X95" s="773"/>
      <c r="Y95" s="700"/>
      <c r="Z95" s="306"/>
      <c r="AA95" s="299"/>
      <c r="AB95" s="300"/>
      <c r="AI95" s="47">
        <v>-1</v>
      </c>
    </row>
    <row r="96" spans="2:35" s="47" customFormat="1" x14ac:dyDescent="0.3">
      <c r="B96" s="294">
        <f t="shared" si="2"/>
        <v>17</v>
      </c>
      <c r="C96" s="135">
        <f>AND(BAZLS[[#This Row],[Дисциплина]]&lt;&gt;0,BAZLS[[#This Row],[Вид]]&lt;&gt;list!A$53,BAZLS[[#This Row],[Вид]]&lt;&gt;list!A$54,BAZLS[[#This Row],[Вид]]&lt;&gt;list!A$55)*1</f>
        <v>1</v>
      </c>
      <c r="D96" s="135">
        <f>AND(LEN(BAZLS[[#This Row],[Дисциплина]])&gt;0,OR(BAZLS[[#This Row],[Лекции]]&gt;0,BAZLS[[#This Row],[Упражнения]]&gt;0),BAZLS[[#This Row],[Студенти]]=0)*1</f>
        <v>0</v>
      </c>
      <c r="E96" s="135">
        <f>AND(N(BAZLS[[#This Row],[Изпитани]])&gt;0,BAZLS[[#This Row],[Изпитващ]]=0)*1</f>
        <v>0</v>
      </c>
      <c r="F96" s="136">
        <f>IFERROR(VLOOKUP(BAZLS[[#This Row],[Език]],Коефициент_Eзик[],2,0),0)</f>
        <v>1</v>
      </c>
      <c r="G96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6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6" s="886">
        <f>IFERROR(IF(BAZLS[[#This Row],[ФормаОб]]=list!$A$55,Coef!$B$10,Coef!$B$9),0)</f>
        <v>0.5</v>
      </c>
      <c r="J96" s="135">
        <f>N(BAZLS[[#This Row],[Лекции]])*BAZLS[[#This Row],[кЕзик]]*BAZLS[[#This Row],[кСтуденти]]*кЛекции</f>
        <v>0</v>
      </c>
      <c r="K96" s="135">
        <f>N(BAZLS[[#This Row],[Упражнения]])*BAZLS[[#This Row],[кЕзик]]*BAZLS[[#This Row],[кСтуденти]]*кУпражнение</f>
        <v>0</v>
      </c>
      <c r="L96" s="135">
        <f>N(BAZLS[[#This Row],[Изпитани]])*BAZLS[[#This Row],[кИзпитващ]]</f>
        <v>0</v>
      </c>
      <c r="M96" s="869">
        <f>BAZLS[[#This Row],[ТО]]*BAZLS[[#This Row],[кTO]]</f>
        <v>0</v>
      </c>
      <c r="N96" s="677" t="s">
        <v>691</v>
      </c>
      <c r="O96" s="690" t="s">
        <v>691</v>
      </c>
      <c r="P96" s="684" t="s">
        <v>691</v>
      </c>
      <c r="Q96" s="765"/>
      <c r="R96" s="766"/>
      <c r="S96" s="734"/>
      <c r="T96" s="307"/>
      <c r="U96" s="308"/>
      <c r="V96" s="309"/>
      <c r="W96" s="731" t="s">
        <v>84</v>
      </c>
      <c r="X96" s="773"/>
      <c r="Y96" s="700"/>
      <c r="Z96" s="306"/>
      <c r="AA96" s="299"/>
      <c r="AB96" s="300"/>
      <c r="AI96" s="47">
        <v>-1</v>
      </c>
    </row>
    <row r="97" spans="2:35" s="47" customFormat="1" x14ac:dyDescent="0.3">
      <c r="B97" s="294">
        <f t="shared" si="2"/>
        <v>18</v>
      </c>
      <c r="C97" s="135">
        <f>AND(BAZLS[[#This Row],[Дисциплина]]&lt;&gt;0,BAZLS[[#This Row],[Вид]]&lt;&gt;list!A$53,BAZLS[[#This Row],[Вид]]&lt;&gt;list!A$54,BAZLS[[#This Row],[Вид]]&lt;&gt;list!A$55)*1</f>
        <v>1</v>
      </c>
      <c r="D97" s="135">
        <f>AND(LEN(BAZLS[[#This Row],[Дисциплина]])&gt;0,OR(BAZLS[[#This Row],[Лекции]]&gt;0,BAZLS[[#This Row],[Упражнения]]&gt;0),BAZLS[[#This Row],[Студенти]]=0)*1</f>
        <v>0</v>
      </c>
      <c r="E97" s="135">
        <f>AND(N(BAZLS[[#This Row],[Изпитани]])&gt;0,BAZLS[[#This Row],[Изпитващ]]=0)*1</f>
        <v>0</v>
      </c>
      <c r="F97" s="136">
        <f>IFERROR(VLOOKUP(BAZLS[[#This Row],[Език]],Коефициент_Eзик[],2,0),0)</f>
        <v>1</v>
      </c>
      <c r="G97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7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7" s="886">
        <f>IFERROR(IF(BAZLS[[#This Row],[ФормаОб]]=list!$A$55,Coef!$B$10,Coef!$B$9),0)</f>
        <v>0.5</v>
      </c>
      <c r="J97" s="135">
        <f>N(BAZLS[[#This Row],[Лекции]])*BAZLS[[#This Row],[кЕзик]]*BAZLS[[#This Row],[кСтуденти]]*кЛекции</f>
        <v>0</v>
      </c>
      <c r="K97" s="135">
        <f>N(BAZLS[[#This Row],[Упражнения]])*BAZLS[[#This Row],[кЕзик]]*BAZLS[[#This Row],[кСтуденти]]*кУпражнение</f>
        <v>0</v>
      </c>
      <c r="L97" s="135">
        <f>N(BAZLS[[#This Row],[Изпитани]])*BAZLS[[#This Row],[кИзпитващ]]</f>
        <v>0</v>
      </c>
      <c r="M97" s="869">
        <f>BAZLS[[#This Row],[ТО]]*BAZLS[[#This Row],[кTO]]</f>
        <v>0</v>
      </c>
      <c r="N97" s="767" t="s">
        <v>691</v>
      </c>
      <c r="O97" s="695" t="s">
        <v>691</v>
      </c>
      <c r="P97" s="689" t="s">
        <v>691</v>
      </c>
      <c r="Q97" s="765"/>
      <c r="R97" s="766"/>
      <c r="S97" s="734"/>
      <c r="T97" s="307"/>
      <c r="U97" s="308"/>
      <c r="V97" s="309"/>
      <c r="W97" s="731" t="s">
        <v>84</v>
      </c>
      <c r="X97" s="773"/>
      <c r="Y97" s="700"/>
      <c r="Z97" s="306"/>
      <c r="AA97" s="299"/>
      <c r="AB97" s="300"/>
      <c r="AI97" s="47">
        <v>-1</v>
      </c>
    </row>
    <row r="98" spans="2:35" s="47" customFormat="1" ht="17.25" thickBot="1" x14ac:dyDescent="0.35">
      <c r="B98" s="294">
        <f t="shared" si="2"/>
        <v>19</v>
      </c>
      <c r="C98" s="135">
        <f>AND(BAZLS[[#This Row],[Дисциплина]]&lt;&gt;0,BAZLS[[#This Row],[Вид]]&lt;&gt;list!A$53,BAZLS[[#This Row],[Вид]]&lt;&gt;list!A$54,BAZLS[[#This Row],[Вид]]&lt;&gt;list!A$55)*1</f>
        <v>1</v>
      </c>
      <c r="D98" s="135">
        <f>AND(LEN(BAZLS[[#This Row],[Дисциплина]])&gt;0,OR(BAZLS[[#This Row],[Лекции]]&gt;0,BAZLS[[#This Row],[Упражнения]]&gt;0),BAZLS[[#This Row],[Студенти]]=0)*1</f>
        <v>0</v>
      </c>
      <c r="E98" s="135">
        <f>AND(N(BAZLS[[#This Row],[Изпитани]])&gt;0,BAZLS[[#This Row],[Изпитващ]]=0)*1</f>
        <v>0</v>
      </c>
      <c r="F98" s="136">
        <f>IFERROR(VLOOKUP(BAZLS[[#This Row],[Език]],Коефициент_Eзик[],2,0),0)</f>
        <v>1</v>
      </c>
      <c r="G98" s="135">
        <f>IFERROR(IF(AND(BAZLS[[#This Row],[Студенти]]&gt;0,OR(BAZLS[[#This Row],[Вид]]="З",BAZLS[[#This Row],[Студенти]]&gt;=6)),1,VLOOKUP(BAZLS[[#This Row],[Студенти]],RdukciaChasove[],2,0)),0)</f>
        <v>0</v>
      </c>
      <c r="H98" s="135">
        <f>IFERROR(IF(LEN(BAZLS[[#This Row],[Изпитващ]])=0,0,IF(AND('1. Планд'!$B$6=list!$A$11,BAZLS[[#This Row],[ФормаОц]]=list!$A$66),Coef!$B$8,VLOOKUP(BAZLS[[#This Row],[Изпитващ]],Koef.ocenqvane[],2,0))),0)</f>
        <v>0</v>
      </c>
      <c r="I98" s="886">
        <f>IFERROR(IF(BAZLS[[#This Row],[ФормаОб]]=list!$A$55,Coef!$B$10,Coef!$B$9),0)</f>
        <v>0.5</v>
      </c>
      <c r="J98" s="135">
        <f>N(BAZLS[[#This Row],[Лекции]])*BAZLS[[#This Row],[кЕзик]]*BAZLS[[#This Row],[кСтуденти]]*кЛекции</f>
        <v>0</v>
      </c>
      <c r="K98" s="135">
        <f>N(BAZLS[[#This Row],[Упражнения]])*BAZLS[[#This Row],[кЕзик]]*BAZLS[[#This Row],[кСтуденти]]*кУпражнение</f>
        <v>0</v>
      </c>
      <c r="L98" s="135">
        <f>N(BAZLS[[#This Row],[Изпитани]])*BAZLS[[#This Row],[кИзпитващ]]</f>
        <v>0</v>
      </c>
      <c r="M98" s="869">
        <f>BAZLS[[#This Row],[ТО]]*BAZLS[[#This Row],[кTO]]</f>
        <v>0</v>
      </c>
      <c r="N98" s="768" t="s">
        <v>691</v>
      </c>
      <c r="O98" s="769" t="s">
        <v>691</v>
      </c>
      <c r="P98" s="687" t="s">
        <v>691</v>
      </c>
      <c r="Q98" s="770"/>
      <c r="R98" s="771"/>
      <c r="S98" s="772"/>
      <c r="T98" s="310"/>
      <c r="U98" s="311"/>
      <c r="V98" s="312"/>
      <c r="W98" s="731" t="s">
        <v>84</v>
      </c>
      <c r="X98" s="773"/>
      <c r="Y98" s="700"/>
      <c r="Z98" s="306"/>
      <c r="AA98" s="299"/>
      <c r="AB98" s="300"/>
      <c r="AI98" s="47">
        <v>-1</v>
      </c>
    </row>
    <row r="99" spans="2:35" s="154" customFormat="1" ht="9.9499999999999993" customHeight="1" x14ac:dyDescent="0.25">
      <c r="B99" s="131" t="s">
        <v>417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I99" s="154">
        <v>-1</v>
      </c>
    </row>
    <row r="100" spans="2:35" s="48" customFormat="1" ht="26.25" x14ac:dyDescent="0.3">
      <c r="B100" s="216" t="s">
        <v>420</v>
      </c>
      <c r="H100" s="49"/>
      <c r="I100" s="49"/>
      <c r="J100" s="49"/>
      <c r="K100" s="49"/>
      <c r="L100" s="49"/>
      <c r="M100" s="41">
        <f>IF($M$74,2,"2.2")</f>
        <v>2</v>
      </c>
      <c r="N100" s="1538" t="str">
        <f>M100&amp;". ОКС ""бакалавър"" и ""магистър"" след средно образование – практики и курсови работи – ЛЕТЕН семестър"</f>
        <v>2. ОКС "бакалавър" и "магистър" след средно образование – практики и курсови работи – ЛЕТЕН семестър</v>
      </c>
      <c r="O100" s="1539"/>
      <c r="P100" s="1539"/>
      <c r="Q100" s="1539"/>
      <c r="R100" s="1539"/>
      <c r="S100" s="1539"/>
      <c r="T100" s="1539"/>
      <c r="U100" s="1539"/>
      <c r="V100" s="1539"/>
      <c r="W100" s="1539"/>
      <c r="X100" s="1539"/>
      <c r="Y100" s="1539"/>
      <c r="Z100" s="1539"/>
      <c r="AA100" s="1539"/>
      <c r="AB100" s="1540"/>
      <c r="AI100" s="566">
        <v>-1</v>
      </c>
    </row>
    <row r="101" spans="2:35" s="50" customFormat="1" ht="21" customHeight="1" thickBot="1" x14ac:dyDescent="0.35">
      <c r="B101" s="131" t="s">
        <v>477</v>
      </c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8"/>
      <c r="N101" s="1563" t="s">
        <v>804</v>
      </c>
      <c r="O101" s="1564"/>
      <c r="P101" s="1564"/>
      <c r="Q101" s="1564"/>
      <c r="R101" s="1564"/>
      <c r="S101" s="1564"/>
      <c r="T101" s="1564"/>
      <c r="U101" s="1564"/>
      <c r="V101" s="1564"/>
      <c r="W101" s="1564"/>
      <c r="X101" s="1564"/>
      <c r="Y101" s="1564"/>
      <c r="Z101" s="1564"/>
      <c r="AA101" s="1564"/>
      <c r="AB101" s="1565"/>
      <c r="AI101" s="567">
        <v>-1</v>
      </c>
    </row>
    <row r="102" spans="2:35" s="50" customFormat="1" ht="21" customHeight="1" thickBot="1" x14ac:dyDescent="0.35">
      <c r="B102" s="131" t="s">
        <v>418</v>
      </c>
      <c r="C102" s="41"/>
      <c r="D102" s="41"/>
      <c r="E102" s="41"/>
      <c r="F102" s="41"/>
      <c r="G102" s="41"/>
      <c r="N102" s="1550" t="s">
        <v>22</v>
      </c>
      <c r="O102" s="1552" t="s">
        <v>17</v>
      </c>
      <c r="P102" s="1555" t="s">
        <v>18</v>
      </c>
      <c r="Q102" s="1550" t="s">
        <v>19</v>
      </c>
      <c r="R102" s="1552" t="s">
        <v>20</v>
      </c>
      <c r="S102" s="1555" t="s">
        <v>569</v>
      </c>
      <c r="T102" s="1559" t="s">
        <v>508</v>
      </c>
      <c r="U102" s="1615" t="s">
        <v>558</v>
      </c>
      <c r="V102" s="1590"/>
      <c r="W102" s="1616"/>
      <c r="X102" s="1552" t="s">
        <v>474</v>
      </c>
      <c r="Y102" s="1561" t="s">
        <v>312</v>
      </c>
      <c r="Z102" s="1550" t="s">
        <v>335</v>
      </c>
      <c r="AA102" s="1552"/>
      <c r="AB102" s="1555"/>
      <c r="AC102" s="41"/>
      <c r="AD102" s="41"/>
      <c r="AE102" s="41"/>
      <c r="AI102" s="567">
        <v>-1</v>
      </c>
    </row>
    <row r="103" spans="2:35" ht="26.25" thickBot="1" x14ac:dyDescent="0.35">
      <c r="B103" s="131" t="s">
        <v>419</v>
      </c>
      <c r="D103" s="1544" t="s">
        <v>575</v>
      </c>
      <c r="E103" s="1611"/>
      <c r="F103" s="1545"/>
      <c r="G103" s="1544" t="s">
        <v>316</v>
      </c>
      <c r="H103" s="1545"/>
      <c r="I103" s="1544" t="s">
        <v>313</v>
      </c>
      <c r="J103" s="1545"/>
      <c r="K103" s="1612" t="s">
        <v>339</v>
      </c>
      <c r="L103" s="1613"/>
      <c r="M103" s="1614"/>
      <c r="N103" s="1551"/>
      <c r="O103" s="1553"/>
      <c r="P103" s="1556"/>
      <c r="Q103" s="1551"/>
      <c r="R103" s="1553"/>
      <c r="S103" s="1556"/>
      <c r="T103" s="1560"/>
      <c r="U103" s="476" t="s">
        <v>557</v>
      </c>
      <c r="V103" s="477" t="s">
        <v>792</v>
      </c>
      <c r="W103" s="478" t="s">
        <v>793</v>
      </c>
      <c r="X103" s="1553"/>
      <c r="Y103" s="1562"/>
      <c r="Z103" s="271" t="s">
        <v>330</v>
      </c>
      <c r="AA103" s="272" t="s">
        <v>331</v>
      </c>
      <c r="AB103" s="273" t="s">
        <v>480</v>
      </c>
      <c r="AI103" s="121">
        <v>-1</v>
      </c>
    </row>
    <row r="104" spans="2:35" ht="21" hidden="1" thickBot="1" x14ac:dyDescent="0.35">
      <c r="B104" s="131" t="s">
        <v>425</v>
      </c>
      <c r="D104" s="541" t="s">
        <v>585</v>
      </c>
      <c r="E104" s="145" t="s">
        <v>576</v>
      </c>
      <c r="F104" s="147" t="s">
        <v>626</v>
      </c>
      <c r="G104" s="149" t="s">
        <v>395</v>
      </c>
      <c r="H104" s="151" t="s">
        <v>338</v>
      </c>
      <c r="I104" s="149" t="s">
        <v>396</v>
      </c>
      <c r="J104" s="868" t="s">
        <v>336</v>
      </c>
      <c r="K104" s="479" t="s">
        <v>579</v>
      </c>
      <c r="L104" s="480" t="s">
        <v>392</v>
      </c>
      <c r="M104" s="889" t="s">
        <v>337</v>
      </c>
      <c r="N104" s="150" t="s">
        <v>22</v>
      </c>
      <c r="O104" s="150" t="s">
        <v>17</v>
      </c>
      <c r="P104" s="151" t="s">
        <v>18</v>
      </c>
      <c r="Q104" s="150" t="s">
        <v>19</v>
      </c>
      <c r="R104" s="150" t="s">
        <v>20</v>
      </c>
      <c r="S104" s="150" t="s">
        <v>630</v>
      </c>
      <c r="T104" s="149" t="s">
        <v>628</v>
      </c>
      <c r="U104" s="479" t="s">
        <v>578</v>
      </c>
      <c r="V104" s="480" t="s">
        <v>554</v>
      </c>
      <c r="W104" s="481" t="s">
        <v>571</v>
      </c>
      <c r="X104" s="150" t="s">
        <v>631</v>
      </c>
      <c r="Y104" s="151" t="s">
        <v>333</v>
      </c>
      <c r="Z104" s="149" t="s">
        <v>330</v>
      </c>
      <c r="AA104" s="150" t="s">
        <v>86</v>
      </c>
      <c r="AB104" s="151" t="s">
        <v>332</v>
      </c>
      <c r="AI104" s="121">
        <v>-1</v>
      </c>
    </row>
    <row r="105" spans="2:35" x14ac:dyDescent="0.3">
      <c r="B105" s="294">
        <f t="shared" ref="B105:B114" si="3">N(B104)+1</f>
        <v>1</v>
      </c>
      <c r="D105" s="459">
        <f>IFERROR(MATCH(BPLS[[#This Row],[ВидПрактика]],T_Практики[Практика и курсова работа],0),0)</f>
        <v>0</v>
      </c>
      <c r="E105" s="459" t="str">
        <f>IF(BPLS[[#This Row],[пВидПрактика]],INDEX(T_Практики[Група],BPLS[[#This Row],[пВидПрактика]]),"-")</f>
        <v>-</v>
      </c>
      <c r="F105" s="472" t="str">
        <f>IF(BPLS[[#This Row],[пВидПрактика]],INDEX(T_Практики[Ден],BPLS[[#This Row],[пВидПрактика]])*2,"-")</f>
        <v>-</v>
      </c>
      <c r="G105" s="136">
        <f>IF(AND(BPLS[[#This Row],[ТО]]&lt;&gt;0,BPLS[[#This Row],[ФормаОб]]=0),1,0)</f>
        <v>0</v>
      </c>
      <c r="H105" s="135">
        <f>IF(AND(BPLS[[#This Row],[Изпитани]]&lt;&gt;0,BPLS[[#This Row],[Изпитващ]]=0),1,0)</f>
        <v>0</v>
      </c>
      <c r="I105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05" s="869">
        <f>IFERROR(IF(BPLS[[#This Row],[ФормаОб]]=list!$A$55,Coef!$B$10,Coef!$B$9),0)</f>
        <v>0.5</v>
      </c>
      <c r="K105" s="542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05" s="540">
        <f>BPLS[[#This Row],[кИзпитващ]]*BPLS[[#This Row],[Изпитани]]</f>
        <v>0</v>
      </c>
      <c r="M105" s="890">
        <f>BPLS[[#This Row],[ТО]]*BPLS[[#This Row],[кTO]]</f>
        <v>0</v>
      </c>
      <c r="N105" s="750" t="s">
        <v>691</v>
      </c>
      <c r="O105" s="774" t="s">
        <v>691</v>
      </c>
      <c r="P105" s="775" t="s">
        <v>691</v>
      </c>
      <c r="Q105" s="776" t="s">
        <v>691</v>
      </c>
      <c r="R105" s="776" t="s">
        <v>691</v>
      </c>
      <c r="S105" s="776" t="s">
        <v>691</v>
      </c>
      <c r="T105" s="313"/>
      <c r="U105" s="891"/>
      <c r="V105" s="674"/>
      <c r="W105" s="892"/>
      <c r="X105" s="782" t="s">
        <v>691</v>
      </c>
      <c r="Y105" s="783" t="s">
        <v>691</v>
      </c>
      <c r="Z105" s="343"/>
      <c r="AA105" s="344"/>
      <c r="AB105" s="345"/>
      <c r="AI105" s="121">
        <v>-1</v>
      </c>
    </row>
    <row r="106" spans="2:35" x14ac:dyDescent="0.3">
      <c r="B106" s="294">
        <f t="shared" si="3"/>
        <v>2</v>
      </c>
      <c r="D106" s="459">
        <f>IFERROR(MATCH(BPLS[[#This Row],[ВидПрактика]],T_Практики[Практика и курсова работа],0),0)</f>
        <v>0</v>
      </c>
      <c r="E106" s="459" t="str">
        <f>IF(BPLS[[#This Row],[пВидПрактика]],INDEX(T_Практики[Група],BPLS[[#This Row],[пВидПрактика]]),"-")</f>
        <v>-</v>
      </c>
      <c r="F106" s="462" t="str">
        <f>IF(BPLS[[#This Row],[пВидПрактика]],INDEX(T_Практики[Ден],BPLS[[#This Row],[пВидПрактика]])*2,"-")</f>
        <v>-</v>
      </c>
      <c r="G106" s="136">
        <f>IF(AND(BPLS[[#This Row],[ТО]]&lt;&gt;0,BPLS[[#This Row],[ФормаОб]]=0),1,0)</f>
        <v>0</v>
      </c>
      <c r="H106" s="135">
        <f>IF(AND(BPLS[[#This Row],[Изпитани]]&lt;&gt;0,BPLS[[#This Row],[Изпитващ]]=0),1,0)</f>
        <v>0</v>
      </c>
      <c r="I106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06" s="869">
        <f>IFERROR(IF(BPLS[[#This Row],[ФормаОб]]=list!$A$55,Coef!$B$10,Coef!$B$9),0)</f>
        <v>0.5</v>
      </c>
      <c r="K106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06" s="464">
        <f>BPLS[[#This Row],[кИзпитващ]]*BPLS[[#This Row],[Изпитани]]</f>
        <v>0</v>
      </c>
      <c r="M106" s="877">
        <f>BPLS[[#This Row],[ТО]]*BPLS[[#This Row],[кTO]]</f>
        <v>0</v>
      </c>
      <c r="N106" s="750" t="s">
        <v>691</v>
      </c>
      <c r="O106" s="774" t="s">
        <v>691</v>
      </c>
      <c r="P106" s="775" t="s">
        <v>691</v>
      </c>
      <c r="Q106" s="776" t="s">
        <v>691</v>
      </c>
      <c r="R106" s="776" t="s">
        <v>691</v>
      </c>
      <c r="S106" s="776" t="s">
        <v>691</v>
      </c>
      <c r="T106" s="313"/>
      <c r="U106" s="780"/>
      <c r="V106" s="674"/>
      <c r="W106" s="672"/>
      <c r="X106" s="782" t="s">
        <v>691</v>
      </c>
      <c r="Y106" s="783" t="s">
        <v>691</v>
      </c>
      <c r="Z106" s="343"/>
      <c r="AA106" s="344"/>
      <c r="AB106" s="345"/>
      <c r="AI106" s="121">
        <v>-1</v>
      </c>
    </row>
    <row r="107" spans="2:35" x14ac:dyDescent="0.3">
      <c r="B107" s="294">
        <f t="shared" si="3"/>
        <v>3</v>
      </c>
      <c r="D107" s="459">
        <f>IFERROR(MATCH(BPLS[[#This Row],[ВидПрактика]],T_Практики[Практика и курсова работа],0),0)</f>
        <v>0</v>
      </c>
      <c r="E107" s="459" t="str">
        <f>IF(BPLS[[#This Row],[пВидПрактика]],INDEX(T_Практики[Група],BPLS[[#This Row],[пВидПрактика]]),"-")</f>
        <v>-</v>
      </c>
      <c r="F107" s="462" t="str">
        <f>IF(BPLS[[#This Row],[пВидПрактика]],INDEX(T_Практики[Ден],BPLS[[#This Row],[пВидПрактика]])*2,"-")</f>
        <v>-</v>
      </c>
      <c r="G107" s="136">
        <f>IF(AND(BPLS[[#This Row],[ТО]]&lt;&gt;0,BPLS[[#This Row],[ФормаОб]]=0),1,0)</f>
        <v>0</v>
      </c>
      <c r="H107" s="135">
        <f>IF(AND(BPLS[[#This Row],[Изпитани]]&lt;&gt;0,BPLS[[#This Row],[Изпитващ]]=0),1,0)</f>
        <v>0</v>
      </c>
      <c r="I107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07" s="869">
        <f>IFERROR(IF(BPLS[[#This Row],[ФормаОб]]=list!$A$55,Coef!$B$10,Coef!$B$9),0)</f>
        <v>0.5</v>
      </c>
      <c r="K107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07" s="464">
        <f>BPLS[[#This Row],[кИзпитващ]]*BPLS[[#This Row],[Изпитани]]</f>
        <v>0</v>
      </c>
      <c r="M107" s="877">
        <f>BPLS[[#This Row],[ТО]]*BPLS[[#This Row],[кTO]]</f>
        <v>0</v>
      </c>
      <c r="N107" s="750" t="s">
        <v>691</v>
      </c>
      <c r="O107" s="774" t="s">
        <v>691</v>
      </c>
      <c r="P107" s="775" t="s">
        <v>691</v>
      </c>
      <c r="Q107" s="776" t="s">
        <v>691</v>
      </c>
      <c r="R107" s="776" t="s">
        <v>691</v>
      </c>
      <c r="S107" s="776" t="s">
        <v>691</v>
      </c>
      <c r="T107" s="313"/>
      <c r="U107" s="780" t="s">
        <v>691</v>
      </c>
      <c r="V107" s="674"/>
      <c r="W107" s="672"/>
      <c r="X107" s="782" t="s">
        <v>691</v>
      </c>
      <c r="Y107" s="783" t="s">
        <v>691</v>
      </c>
      <c r="Z107" s="343"/>
      <c r="AA107" s="344"/>
      <c r="AB107" s="345"/>
      <c r="AI107" s="121">
        <v>-1</v>
      </c>
    </row>
    <row r="108" spans="2:35" x14ac:dyDescent="0.3">
      <c r="B108" s="294">
        <f t="shared" si="3"/>
        <v>4</v>
      </c>
      <c r="D108" s="459">
        <f>IFERROR(MATCH(BPLS[[#This Row],[ВидПрактика]],T_Практики[Практика и курсова работа],0),0)</f>
        <v>0</v>
      </c>
      <c r="E108" s="459" t="str">
        <f>IF(BPLS[[#This Row],[пВидПрактика]],INDEX(T_Практики[Група],BPLS[[#This Row],[пВидПрактика]]),"-")</f>
        <v>-</v>
      </c>
      <c r="F108" s="462" t="str">
        <f>IF(BPLS[[#This Row],[пВидПрактика]],INDEX(T_Практики[Ден],BPLS[[#This Row],[пВидПрактика]])*2,"-")</f>
        <v>-</v>
      </c>
      <c r="G108" s="136">
        <f>IF(AND(BPLS[[#This Row],[ТО]]&lt;&gt;0,BPLS[[#This Row],[ФормаОб]]=0),1,0)</f>
        <v>0</v>
      </c>
      <c r="H108" s="135">
        <f>IF(AND(BPLS[[#This Row],[Изпитани]]&lt;&gt;0,BPLS[[#This Row],[Изпитващ]]=0),1,0)</f>
        <v>0</v>
      </c>
      <c r="I108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08" s="869">
        <f>IFERROR(IF(BPLS[[#This Row],[ФормаОб]]=list!$A$55,Coef!$B$10,Coef!$B$9),0)</f>
        <v>0.5</v>
      </c>
      <c r="K108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08" s="464">
        <f>BPLS[[#This Row],[кИзпитващ]]*BPLS[[#This Row],[Изпитани]]</f>
        <v>0</v>
      </c>
      <c r="M108" s="877">
        <f>BPLS[[#This Row],[ТО]]*BPLS[[#This Row],[кTO]]</f>
        <v>0</v>
      </c>
      <c r="N108" s="750" t="s">
        <v>691</v>
      </c>
      <c r="O108" s="774" t="s">
        <v>691</v>
      </c>
      <c r="P108" s="775" t="s">
        <v>691</v>
      </c>
      <c r="Q108" s="776" t="s">
        <v>691</v>
      </c>
      <c r="R108" s="776" t="s">
        <v>691</v>
      </c>
      <c r="S108" s="776" t="s">
        <v>691</v>
      </c>
      <c r="T108" s="313"/>
      <c r="U108" s="780" t="s">
        <v>691</v>
      </c>
      <c r="V108" s="674"/>
      <c r="W108" s="672"/>
      <c r="X108" s="782" t="s">
        <v>691</v>
      </c>
      <c r="Y108" s="783" t="s">
        <v>691</v>
      </c>
      <c r="Z108" s="343"/>
      <c r="AA108" s="344"/>
      <c r="AB108" s="345"/>
      <c r="AI108" s="121">
        <v>-1</v>
      </c>
    </row>
    <row r="109" spans="2:35" x14ac:dyDescent="0.3">
      <c r="B109" s="294">
        <f t="shared" si="3"/>
        <v>5</v>
      </c>
      <c r="D109" s="459">
        <f>IFERROR(MATCH(BPLS[[#This Row],[ВидПрактика]],T_Практики[Практика и курсова работа],0),0)</f>
        <v>0</v>
      </c>
      <c r="E109" s="459" t="str">
        <f>IF(BPLS[[#This Row],[пВидПрактика]],INDEX(T_Практики[Група],BPLS[[#This Row],[пВидПрактика]]),"-")</f>
        <v>-</v>
      </c>
      <c r="F109" s="462" t="str">
        <f>IF(BPLS[[#This Row],[пВидПрактика]],INDEX(T_Практики[Ден],BPLS[[#This Row],[пВидПрактика]])*2,"-")</f>
        <v>-</v>
      </c>
      <c r="G109" s="136">
        <f>IF(AND(BPLS[[#This Row],[ТО]]&lt;&gt;0,BPLS[[#This Row],[ФормаОб]]=0),1,0)</f>
        <v>0</v>
      </c>
      <c r="H109" s="135">
        <f>IF(AND(BPLS[[#This Row],[Изпитани]]&lt;&gt;0,BPLS[[#This Row],[Изпитващ]]=0),1,0)</f>
        <v>0</v>
      </c>
      <c r="I109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09" s="869">
        <f>IFERROR(IF(BPLS[[#This Row],[ФормаОб]]=list!$A$55,Coef!$B$10,Coef!$B$9),0)</f>
        <v>0.5</v>
      </c>
      <c r="K109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09" s="464">
        <f>BPLS[[#This Row],[кИзпитващ]]*BPLS[[#This Row],[Изпитани]]</f>
        <v>0</v>
      </c>
      <c r="M109" s="877">
        <f>BPLS[[#This Row],[ТО]]*BPLS[[#This Row],[кTO]]</f>
        <v>0</v>
      </c>
      <c r="N109" s="750" t="s">
        <v>691</v>
      </c>
      <c r="O109" s="774" t="s">
        <v>691</v>
      </c>
      <c r="P109" s="775" t="s">
        <v>691</v>
      </c>
      <c r="Q109" s="776" t="s">
        <v>691</v>
      </c>
      <c r="R109" s="776" t="s">
        <v>691</v>
      </c>
      <c r="S109" s="776" t="s">
        <v>691</v>
      </c>
      <c r="T109" s="313"/>
      <c r="U109" s="780" t="s">
        <v>691</v>
      </c>
      <c r="V109" s="674"/>
      <c r="W109" s="672"/>
      <c r="X109" s="782" t="s">
        <v>691</v>
      </c>
      <c r="Y109" s="783" t="s">
        <v>691</v>
      </c>
      <c r="Z109" s="343"/>
      <c r="AA109" s="344"/>
      <c r="AB109" s="345"/>
      <c r="AI109" s="121">
        <v>-1</v>
      </c>
    </row>
    <row r="110" spans="2:35" s="50" customFormat="1" x14ac:dyDescent="0.3">
      <c r="B110" s="294">
        <f t="shared" si="3"/>
        <v>6</v>
      </c>
      <c r="D110" s="459">
        <f>IFERROR(MATCH(BPLS[[#This Row],[ВидПрактика]],T_Практики[Практика и курсова работа],0),0)</f>
        <v>0</v>
      </c>
      <c r="E110" s="459" t="str">
        <f>IF(BPLS[[#This Row],[пВидПрактика]],INDEX(T_Практики[Група],BPLS[[#This Row],[пВидПрактика]]),"-")</f>
        <v>-</v>
      </c>
      <c r="F110" s="462" t="str">
        <f>IF(BPLS[[#This Row],[пВидПрактика]],INDEX(T_Практики[Ден],BPLS[[#This Row],[пВидПрактика]])*2,"-")</f>
        <v>-</v>
      </c>
      <c r="G110" s="136">
        <f>IF(AND(BPLS[[#This Row],[ТО]]&lt;&gt;0,BPLS[[#This Row],[ФормаОб]]=0),1,0)</f>
        <v>0</v>
      </c>
      <c r="H110" s="135">
        <f>IF(AND(BPLS[[#This Row],[Изпитани]]&lt;&gt;0,BPLS[[#This Row],[Изпитващ]]=0),1,0)</f>
        <v>0</v>
      </c>
      <c r="I110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10" s="869">
        <f>IFERROR(IF(BPLS[[#This Row],[ФормаОб]]=list!$A$55,Coef!$B$10,Coef!$B$9),0)</f>
        <v>0.5</v>
      </c>
      <c r="K110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10" s="464">
        <f>BPLS[[#This Row],[кИзпитващ]]*BPLS[[#This Row],[Изпитани]]</f>
        <v>0</v>
      </c>
      <c r="M110" s="877">
        <f>BPLS[[#This Row],[ТО]]*BPLS[[#This Row],[кTO]]</f>
        <v>0</v>
      </c>
      <c r="N110" s="750" t="s">
        <v>691</v>
      </c>
      <c r="O110" s="750" t="s">
        <v>691</v>
      </c>
      <c r="P110" s="777" t="s">
        <v>691</v>
      </c>
      <c r="Q110" s="776" t="s">
        <v>691</v>
      </c>
      <c r="R110" s="776" t="s">
        <v>691</v>
      </c>
      <c r="S110" s="776" t="s">
        <v>691</v>
      </c>
      <c r="T110" s="292"/>
      <c r="U110" s="780" t="s">
        <v>691</v>
      </c>
      <c r="V110" s="674"/>
      <c r="W110" s="672"/>
      <c r="X110" s="776" t="s">
        <v>691</v>
      </c>
      <c r="Y110" s="783" t="s">
        <v>691</v>
      </c>
      <c r="Z110" s="343"/>
      <c r="AA110" s="344"/>
      <c r="AB110" s="345"/>
      <c r="AI110" s="567">
        <v>-1</v>
      </c>
    </row>
    <row r="111" spans="2:35" s="50" customFormat="1" x14ac:dyDescent="0.3">
      <c r="B111" s="294">
        <f t="shared" si="3"/>
        <v>7</v>
      </c>
      <c r="D111" s="459">
        <f>IFERROR(MATCH(BPLS[[#This Row],[ВидПрактика]],T_Практики[Практика и курсова работа],0),0)</f>
        <v>0</v>
      </c>
      <c r="E111" s="459" t="str">
        <f>IF(BPLS[[#This Row],[пВидПрактика]],INDEX(T_Практики[Група],BPLS[[#This Row],[пВидПрактика]]),"-")</f>
        <v>-</v>
      </c>
      <c r="F111" s="462" t="str">
        <f>IF(BPLS[[#This Row],[пВидПрактика]],INDEX(T_Практики[Ден],BPLS[[#This Row],[пВидПрактика]])*2,"-")</f>
        <v>-</v>
      </c>
      <c r="G111" s="136">
        <f>IF(AND(BPLS[[#This Row],[ТО]]&lt;&gt;0,BPLS[[#This Row],[ФормаОб]]=0),1,0)</f>
        <v>0</v>
      </c>
      <c r="H111" s="135">
        <f>IF(AND(BPLS[[#This Row],[Изпитани]]&lt;&gt;0,BPLS[[#This Row],[Изпитващ]]=0),1,0)</f>
        <v>0</v>
      </c>
      <c r="I111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11" s="869">
        <f>IFERROR(IF(BPLS[[#This Row],[ФормаОб]]=list!$A$55,Coef!$B$10,Coef!$B$9),0)</f>
        <v>0.5</v>
      </c>
      <c r="K111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11" s="464">
        <f>BPLS[[#This Row],[кИзпитващ]]*BPLS[[#This Row],[Изпитани]]</f>
        <v>0</v>
      </c>
      <c r="M111" s="877">
        <f>BPLS[[#This Row],[ТО]]*BPLS[[#This Row],[кTO]]</f>
        <v>0</v>
      </c>
      <c r="N111" s="750" t="s">
        <v>691</v>
      </c>
      <c r="O111" s="750" t="s">
        <v>691</v>
      </c>
      <c r="P111" s="777" t="s">
        <v>691</v>
      </c>
      <c r="Q111" s="776" t="s">
        <v>691</v>
      </c>
      <c r="R111" s="776" t="s">
        <v>691</v>
      </c>
      <c r="S111" s="776" t="s">
        <v>691</v>
      </c>
      <c r="T111" s="292"/>
      <c r="U111" s="780" t="s">
        <v>691</v>
      </c>
      <c r="V111" s="674"/>
      <c r="W111" s="672"/>
      <c r="X111" s="776" t="s">
        <v>691</v>
      </c>
      <c r="Y111" s="783" t="s">
        <v>691</v>
      </c>
      <c r="Z111" s="343"/>
      <c r="AA111" s="344"/>
      <c r="AB111" s="345"/>
      <c r="AI111" s="567">
        <v>-1</v>
      </c>
    </row>
    <row r="112" spans="2:35" s="50" customFormat="1" x14ac:dyDescent="0.3">
      <c r="B112" s="294">
        <f t="shared" si="3"/>
        <v>8</v>
      </c>
      <c r="D112" s="459">
        <f>IFERROR(MATCH(BPLS[[#This Row],[ВидПрактика]],T_Практики[Практика и курсова работа],0),0)</f>
        <v>0</v>
      </c>
      <c r="E112" s="459" t="str">
        <f>IF(BPLS[[#This Row],[пВидПрактика]],INDEX(T_Практики[Група],BPLS[[#This Row],[пВидПрактика]]),"-")</f>
        <v>-</v>
      </c>
      <c r="F112" s="462" t="str">
        <f>IF(BPLS[[#This Row],[пВидПрактика]],INDEX(T_Практики[Ден],BPLS[[#This Row],[пВидПрактика]])*2,"-")</f>
        <v>-</v>
      </c>
      <c r="G112" s="136">
        <f>IF(AND(BPLS[[#This Row],[ТО]]&lt;&gt;0,BPLS[[#This Row],[ФормаОб]]=0),1,0)</f>
        <v>0</v>
      </c>
      <c r="H112" s="135">
        <f>IF(AND(BPLS[[#This Row],[Изпитани]]&lt;&gt;0,BPLS[[#This Row],[Изпитващ]]=0),1,0)</f>
        <v>0</v>
      </c>
      <c r="I112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12" s="869">
        <f>IFERROR(IF(BPLS[[#This Row],[ФормаОб]]=list!$A$55,Coef!$B$10,Coef!$B$9),0)</f>
        <v>0.5</v>
      </c>
      <c r="K112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12" s="464">
        <f>BPLS[[#This Row],[кИзпитващ]]*BPLS[[#This Row],[Изпитани]]</f>
        <v>0</v>
      </c>
      <c r="M112" s="877">
        <f>BPLS[[#This Row],[ТО]]*BPLS[[#This Row],[кTO]]</f>
        <v>0</v>
      </c>
      <c r="N112" s="750" t="s">
        <v>691</v>
      </c>
      <c r="O112" s="750" t="s">
        <v>691</v>
      </c>
      <c r="P112" s="777" t="s">
        <v>691</v>
      </c>
      <c r="Q112" s="776" t="s">
        <v>691</v>
      </c>
      <c r="R112" s="776" t="s">
        <v>691</v>
      </c>
      <c r="S112" s="776" t="s">
        <v>691</v>
      </c>
      <c r="T112" s="292"/>
      <c r="U112" s="780" t="s">
        <v>691</v>
      </c>
      <c r="V112" s="674"/>
      <c r="W112" s="672"/>
      <c r="X112" s="776" t="s">
        <v>691</v>
      </c>
      <c r="Y112" s="783" t="s">
        <v>691</v>
      </c>
      <c r="Z112" s="343"/>
      <c r="AA112" s="344"/>
      <c r="AB112" s="345"/>
      <c r="AI112" s="567">
        <v>-1</v>
      </c>
    </row>
    <row r="113" spans="2:35" s="50" customFormat="1" x14ac:dyDescent="0.3">
      <c r="B113" s="294">
        <f t="shared" si="3"/>
        <v>9</v>
      </c>
      <c r="D113" s="459">
        <f>IFERROR(MATCH(BPLS[[#This Row],[ВидПрактика]],T_Практики[Практика и курсова работа],0),0)</f>
        <v>0</v>
      </c>
      <c r="E113" s="459" t="str">
        <f>IF(BPLS[[#This Row],[пВидПрактика]],INDEX(T_Практики[Група],BPLS[[#This Row],[пВидПрактика]]),"-")</f>
        <v>-</v>
      </c>
      <c r="F113" s="462" t="str">
        <f>IF(BPLS[[#This Row],[пВидПрактика]],INDEX(T_Практики[Ден],BPLS[[#This Row],[пВидПрактика]])*2,"-")</f>
        <v>-</v>
      </c>
      <c r="G113" s="136">
        <f>IF(AND(BPLS[[#This Row],[ТО]]&lt;&gt;0,BPLS[[#This Row],[ФормаОб]]=0),1,0)</f>
        <v>0</v>
      </c>
      <c r="H113" s="135">
        <f>IF(AND(BPLS[[#This Row],[Изпитани]]&lt;&gt;0,BPLS[[#This Row],[Изпитващ]]=0),1,0)</f>
        <v>0</v>
      </c>
      <c r="I113" s="136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13" s="869">
        <f>IFERROR(IF(BPLS[[#This Row],[ФормаОб]]=list!$A$55,Coef!$B$10,Coef!$B$9),0)</f>
        <v>0.5</v>
      </c>
      <c r="K113" s="533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13" s="464">
        <f>BPLS[[#This Row],[кИзпитващ]]*BPLS[[#This Row],[Изпитани]]</f>
        <v>0</v>
      </c>
      <c r="M113" s="877">
        <f>BPLS[[#This Row],[ТО]]*BPLS[[#This Row],[кTO]]</f>
        <v>0</v>
      </c>
      <c r="N113" s="750" t="s">
        <v>691</v>
      </c>
      <c r="O113" s="750" t="s">
        <v>691</v>
      </c>
      <c r="P113" s="777" t="s">
        <v>691</v>
      </c>
      <c r="Q113" s="776" t="s">
        <v>691</v>
      </c>
      <c r="R113" s="776" t="s">
        <v>691</v>
      </c>
      <c r="S113" s="776" t="s">
        <v>691</v>
      </c>
      <c r="T113" s="292"/>
      <c r="U113" s="780" t="s">
        <v>691</v>
      </c>
      <c r="V113" s="674"/>
      <c r="W113" s="672"/>
      <c r="X113" s="776" t="s">
        <v>691</v>
      </c>
      <c r="Y113" s="783" t="s">
        <v>691</v>
      </c>
      <c r="Z113" s="343"/>
      <c r="AA113" s="344"/>
      <c r="AB113" s="345"/>
      <c r="AI113" s="567">
        <v>-1</v>
      </c>
    </row>
    <row r="114" spans="2:35" s="50" customFormat="1" ht="17.25" thickBot="1" x14ac:dyDescent="0.35">
      <c r="B114" s="294">
        <f t="shared" si="3"/>
        <v>10</v>
      </c>
      <c r="D114" s="467">
        <f>IFERROR(MATCH(BPLS[[#This Row],[ВидПрактика]],T_Практики[Практика и курсова работа],0),0)</f>
        <v>0</v>
      </c>
      <c r="E114" s="467" t="str">
        <f>IF(BPLS[[#This Row],[пВидПрактика]],INDEX(T_Практики[Група],BPLS[[#This Row],[пВидПрактика]]),"-")</f>
        <v>-</v>
      </c>
      <c r="F114" s="463" t="str">
        <f>IF(BPLS[[#This Row],[пВидПрактика]],INDEX(T_Практики[Ден],BPLS[[#This Row],[пВидПрактика]])*2,"-")</f>
        <v>-</v>
      </c>
      <c r="G114" s="323">
        <f>IF(AND(BPLS[[#This Row],[ТО]]&lt;&gt;0,BPLS[[#This Row],[ФормаОб]]=0),1,0)</f>
        <v>0</v>
      </c>
      <c r="H114" s="324">
        <f>IF(AND(BPLS[[#This Row],[Изпитани]]&lt;&gt;0,BPLS[[#This Row],[Изпитващ]]=0),1,0)</f>
        <v>0</v>
      </c>
      <c r="I114" s="323">
        <f>IFERROR(IF(LEN(BPLS[[#This Row],[Изпитващ]])=0,0,IF(AND('1. Планд'!$B$6=list!$A$11,BPLS[[#This Row],[ФормаОц]]=list!$A$66),Coef!$B$8,VLOOKUP(BPLS[[#This Row],[Изпитващ]],Koef.ocenqvane[],2,0))),0)</f>
        <v>0</v>
      </c>
      <c r="J114" s="888">
        <f>IFERROR(IF(BPLS[[#This Row],[ФормаОб]]=list!$A$55,Coef!$B$10,Coef!$B$9),0)</f>
        <v>0.5</v>
      </c>
      <c r="K114" s="534">
        <f>IFERROR(IF(BPLS[[#This Row],[пВидПрактика]]&gt;0,INDEX(T_Практики[Час],BPLS[[#This Row],[пВидПрактика]])*CHOOSE(BPLS[[#This Row],[уфГрупа]]+BPLS[[#This Row],[уфДен]]+1,0,N(BPLS[[#This Row],[Група]]),N(BPLS[[#This Row],[Ден]]),N(BPLS[[#This Row],[Група]])*N(BPLS[[#This Row],[Ден]])),0),0)</f>
        <v>0</v>
      </c>
      <c r="L114" s="465">
        <f>BPLS[[#This Row],[кИзпитващ]]*BPLS[[#This Row],[Изпитани]]</f>
        <v>0</v>
      </c>
      <c r="M114" s="878">
        <f>BPLS[[#This Row],[ТО]]*BPLS[[#This Row],[кTO]]</f>
        <v>0</v>
      </c>
      <c r="N114" s="778" t="s">
        <v>691</v>
      </c>
      <c r="O114" s="778" t="s">
        <v>691</v>
      </c>
      <c r="P114" s="779" t="s">
        <v>691</v>
      </c>
      <c r="Q114" s="776" t="s">
        <v>691</v>
      </c>
      <c r="R114" s="776" t="s">
        <v>691</v>
      </c>
      <c r="S114" s="776" t="s">
        <v>691</v>
      </c>
      <c r="T114" s="293"/>
      <c r="U114" s="781" t="s">
        <v>691</v>
      </c>
      <c r="V114" s="674"/>
      <c r="W114" s="673"/>
      <c r="X114" s="784" t="s">
        <v>691</v>
      </c>
      <c r="Y114" s="785" t="s">
        <v>691</v>
      </c>
      <c r="Z114" s="343"/>
      <c r="AA114" s="344"/>
      <c r="AB114" s="345"/>
      <c r="AI114" s="567">
        <v>-1</v>
      </c>
    </row>
    <row r="115" spans="2:35" s="57" customFormat="1" ht="9.9499999999999993" customHeight="1" x14ac:dyDescent="0.25">
      <c r="B115" s="131" t="s">
        <v>417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AI115" s="57">
        <v>-1</v>
      </c>
    </row>
    <row r="116" spans="2:35" s="45" customFormat="1" ht="26.25" thickBot="1" x14ac:dyDescent="0.35">
      <c r="B116" s="216" t="s">
        <v>420</v>
      </c>
      <c r="M116" s="41">
        <f>IF($M$74,3,"2.3")</f>
        <v>3</v>
      </c>
      <c r="N116" s="1575" t="str">
        <f>M116&amp;". ОКС ""бакалавър"" и ""магистър"" след средно образование – дипломиране – ЛЕТЕН семестър"</f>
        <v>3. ОКС "бакалавър" и "магистър" след средно образование – дипломиране – ЛЕТЕН семестър</v>
      </c>
      <c r="O116" s="1575"/>
      <c r="P116" s="1575"/>
      <c r="Q116" s="1575"/>
      <c r="R116" s="1575"/>
      <c r="S116" s="289"/>
      <c r="AI116" s="568">
        <v>-1</v>
      </c>
    </row>
    <row r="117" spans="2:35" s="45" customFormat="1" ht="20.25" x14ac:dyDescent="0.3">
      <c r="B117" s="131" t="s">
        <v>418</v>
      </c>
      <c r="G117" s="45" t="b">
        <f>E114&gt;0</f>
        <v>1</v>
      </c>
      <c r="H117" s="45">
        <f>COUNTIF(E109:F109,0)</f>
        <v>0</v>
      </c>
      <c r="N117" s="1520" t="s">
        <v>17</v>
      </c>
      <c r="O117" s="1522" t="s">
        <v>18</v>
      </c>
      <c r="P117" s="1524" t="s">
        <v>335</v>
      </c>
      <c r="Q117" s="1525"/>
      <c r="R117" s="1526"/>
      <c r="AI117" s="568">
        <v>-1</v>
      </c>
    </row>
    <row r="118" spans="2:35" s="155" customFormat="1" ht="29.25" customHeight="1" thickBot="1" x14ac:dyDescent="0.35">
      <c r="B118" s="131" t="s">
        <v>419</v>
      </c>
      <c r="N118" s="1521"/>
      <c r="O118" s="1523"/>
      <c r="P118" s="276" t="s">
        <v>397</v>
      </c>
      <c r="Q118" s="277" t="s">
        <v>398</v>
      </c>
      <c r="R118" s="278" t="s">
        <v>399</v>
      </c>
      <c r="AI118" s="569">
        <v>-1</v>
      </c>
    </row>
    <row r="119" spans="2:35" ht="20.25" hidden="1" x14ac:dyDescent="0.3">
      <c r="B119" s="131" t="s">
        <v>425</v>
      </c>
      <c r="N119" s="134" t="s">
        <v>17</v>
      </c>
      <c r="O119" s="141" t="s">
        <v>18</v>
      </c>
      <c r="P119" s="140" t="s">
        <v>362</v>
      </c>
      <c r="Q119" s="134" t="s">
        <v>398</v>
      </c>
      <c r="R119" s="137" t="s">
        <v>629</v>
      </c>
      <c r="AI119" s="121">
        <v>-1</v>
      </c>
    </row>
    <row r="120" spans="2:35" s="50" customFormat="1" x14ac:dyDescent="0.3">
      <c r="B120" s="294">
        <f>N(B119)+1</f>
        <v>1</v>
      </c>
      <c r="N120" s="750" t="s">
        <v>691</v>
      </c>
      <c r="O120" s="786" t="s">
        <v>691</v>
      </c>
      <c r="P120" s="343"/>
      <c r="Q120" s="344"/>
      <c r="R120" s="345"/>
      <c r="AI120" s="567">
        <v>-1</v>
      </c>
    </row>
    <row r="121" spans="2:35" s="50" customFormat="1" x14ac:dyDescent="0.3">
      <c r="B121" s="294">
        <f>N(B120)+1</f>
        <v>2</v>
      </c>
      <c r="N121" s="750" t="s">
        <v>691</v>
      </c>
      <c r="O121" s="786" t="s">
        <v>691</v>
      </c>
      <c r="P121" s="343"/>
      <c r="Q121" s="344"/>
      <c r="R121" s="345"/>
      <c r="AI121" s="567">
        <v>-1</v>
      </c>
    </row>
    <row r="122" spans="2:35" s="50" customFormat="1" x14ac:dyDescent="0.3">
      <c r="B122" s="294">
        <f>N(B121)+1</f>
        <v>3</v>
      </c>
      <c r="N122" s="750" t="s">
        <v>691</v>
      </c>
      <c r="O122" s="786" t="s">
        <v>691</v>
      </c>
      <c r="P122" s="343"/>
      <c r="Q122" s="344"/>
      <c r="R122" s="345"/>
      <c r="AI122" s="567">
        <v>-1</v>
      </c>
    </row>
    <row r="123" spans="2:35" s="57" customFormat="1" ht="9.9499999999999993" customHeight="1" x14ac:dyDescent="0.25">
      <c r="B123" s="131" t="s">
        <v>417</v>
      </c>
      <c r="N123"/>
      <c r="O123"/>
      <c r="P123"/>
      <c r="Q123"/>
      <c r="R123"/>
      <c r="AI123" s="57">
        <v>-1</v>
      </c>
    </row>
    <row r="124" spans="2:35" ht="27" customHeight="1" x14ac:dyDescent="0.3">
      <c r="B124" s="216" t="s">
        <v>420</v>
      </c>
      <c r="M124" s="41">
        <f>IF(OR(M25,M74),4,3)</f>
        <v>4</v>
      </c>
      <c r="N124" s="1538" t="str">
        <f>M124&amp;". Слети четения и четения в поток"</f>
        <v>4. Слети четения и четения в поток</v>
      </c>
      <c r="O124" s="1539"/>
      <c r="P124" s="1539"/>
      <c r="Q124" s="1539"/>
      <c r="R124" s="1539"/>
      <c r="S124" s="1539"/>
      <c r="T124" s="1539"/>
      <c r="U124" s="1539"/>
      <c r="V124" s="1539"/>
      <c r="W124" s="1540"/>
      <c r="X124" s="289"/>
    </row>
    <row r="125" spans="2:35" ht="21" thickBot="1" x14ac:dyDescent="0.35">
      <c r="B125" s="131" t="s">
        <v>477</v>
      </c>
      <c r="N125" s="1541" t="s">
        <v>479</v>
      </c>
      <c r="O125" s="1542"/>
      <c r="P125" s="1542"/>
      <c r="Q125" s="1542"/>
      <c r="R125" s="1542"/>
      <c r="S125" s="1542"/>
      <c r="T125" s="1542"/>
      <c r="U125" s="1542"/>
      <c r="V125" s="1542"/>
      <c r="W125" s="1543"/>
    </row>
    <row r="126" spans="2:35" ht="20.25" x14ac:dyDescent="0.3">
      <c r="B126" s="131" t="s">
        <v>418</v>
      </c>
      <c r="N126" s="1529" t="s">
        <v>16</v>
      </c>
      <c r="O126" s="1531" t="s">
        <v>158</v>
      </c>
      <c r="P126" s="1525" t="s">
        <v>17</v>
      </c>
      <c r="Q126" s="1534" t="s">
        <v>18</v>
      </c>
      <c r="R126" s="1529" t="s">
        <v>19</v>
      </c>
      <c r="S126" s="1531" t="s">
        <v>20</v>
      </c>
      <c r="T126" s="1536" t="s">
        <v>569</v>
      </c>
      <c r="U126" s="1527" t="s">
        <v>400</v>
      </c>
      <c r="V126" s="1528"/>
      <c r="W126" s="1518" t="s">
        <v>136</v>
      </c>
    </row>
    <row r="127" spans="2:35" ht="21" thickBot="1" x14ac:dyDescent="0.35">
      <c r="B127" s="131" t="s">
        <v>419</v>
      </c>
      <c r="N127" s="1530"/>
      <c r="O127" s="1532"/>
      <c r="P127" s="1533"/>
      <c r="Q127" s="1535"/>
      <c r="R127" s="1530"/>
      <c r="S127" s="1532"/>
      <c r="T127" s="1537"/>
      <c r="U127" s="287" t="s">
        <v>401</v>
      </c>
      <c r="V127" s="288" t="s">
        <v>402</v>
      </c>
      <c r="W127" s="1519"/>
    </row>
    <row r="128" spans="2:35" ht="20.25" hidden="1" x14ac:dyDescent="0.3">
      <c r="B128" s="131" t="s">
        <v>425</v>
      </c>
      <c r="N128" s="140" t="s">
        <v>16</v>
      </c>
      <c r="O128" s="134" t="s">
        <v>676</v>
      </c>
      <c r="P128" s="134" t="s">
        <v>17</v>
      </c>
      <c r="Q128" s="137" t="s">
        <v>18</v>
      </c>
      <c r="R128" s="134" t="s">
        <v>19</v>
      </c>
      <c r="S128" s="134" t="s">
        <v>20</v>
      </c>
      <c r="T128" s="134" t="s">
        <v>630</v>
      </c>
      <c r="U128" s="140" t="s">
        <v>401</v>
      </c>
      <c r="V128" s="137" t="s">
        <v>402</v>
      </c>
      <c r="W128" s="134" t="s">
        <v>136</v>
      </c>
    </row>
    <row r="129" spans="2:30" s="50" customFormat="1" x14ac:dyDescent="0.3">
      <c r="B129" s="294">
        <f t="shared" ref="B129:B141" si="4">N(B128)+1</f>
        <v>1</v>
      </c>
      <c r="N129" s="696" t="s">
        <v>691</v>
      </c>
      <c r="O129" s="697" t="s">
        <v>691</v>
      </c>
      <c r="P129" s="698" t="s">
        <v>691</v>
      </c>
      <c r="Q129" s="699" t="s">
        <v>691</v>
      </c>
      <c r="R129" s="700" t="s">
        <v>691</v>
      </c>
      <c r="S129" s="700" t="s">
        <v>691</v>
      </c>
      <c r="T129" s="700" t="s">
        <v>691</v>
      </c>
      <c r="U129" s="306"/>
      <c r="V129" s="300"/>
      <c r="W129" s="700" t="s">
        <v>691</v>
      </c>
    </row>
    <row r="130" spans="2:30" s="50" customFormat="1" x14ac:dyDescent="0.3">
      <c r="B130" s="294">
        <f t="shared" si="4"/>
        <v>2</v>
      </c>
      <c r="N130" s="696" t="s">
        <v>691</v>
      </c>
      <c r="O130" s="697" t="s">
        <v>691</v>
      </c>
      <c r="P130" s="698" t="s">
        <v>691</v>
      </c>
      <c r="Q130" s="699" t="s">
        <v>691</v>
      </c>
      <c r="R130" s="700" t="s">
        <v>691</v>
      </c>
      <c r="S130" s="700" t="s">
        <v>691</v>
      </c>
      <c r="T130" s="700" t="s">
        <v>691</v>
      </c>
      <c r="U130" s="306"/>
      <c r="V130" s="300"/>
      <c r="W130" s="700" t="s">
        <v>691</v>
      </c>
    </row>
    <row r="131" spans="2:30" s="50" customFormat="1" x14ac:dyDescent="0.3">
      <c r="B131" s="294">
        <f t="shared" si="4"/>
        <v>3</v>
      </c>
      <c r="N131" s="696" t="s">
        <v>691</v>
      </c>
      <c r="O131" s="697" t="s">
        <v>691</v>
      </c>
      <c r="P131" s="698" t="s">
        <v>691</v>
      </c>
      <c r="Q131" s="699" t="s">
        <v>691</v>
      </c>
      <c r="R131" s="700" t="s">
        <v>691</v>
      </c>
      <c r="S131" s="700" t="s">
        <v>691</v>
      </c>
      <c r="T131" s="700" t="s">
        <v>691</v>
      </c>
      <c r="U131" s="306"/>
      <c r="V131" s="300"/>
      <c r="W131" s="700" t="s">
        <v>691</v>
      </c>
    </row>
    <row r="132" spans="2:30" s="50" customFormat="1" x14ac:dyDescent="0.3">
      <c r="B132" s="294">
        <f t="shared" si="4"/>
        <v>4</v>
      </c>
      <c r="N132" s="696" t="s">
        <v>691</v>
      </c>
      <c r="O132" s="697" t="s">
        <v>691</v>
      </c>
      <c r="P132" s="698" t="s">
        <v>691</v>
      </c>
      <c r="Q132" s="699" t="s">
        <v>691</v>
      </c>
      <c r="R132" s="700" t="s">
        <v>691</v>
      </c>
      <c r="S132" s="700" t="s">
        <v>691</v>
      </c>
      <c r="T132" s="700" t="s">
        <v>691</v>
      </c>
      <c r="U132" s="306"/>
      <c r="V132" s="300"/>
      <c r="W132" s="700" t="s">
        <v>691</v>
      </c>
    </row>
    <row r="133" spans="2:30" s="50" customFormat="1" x14ac:dyDescent="0.3">
      <c r="B133" s="294">
        <f t="shared" si="4"/>
        <v>5</v>
      </c>
      <c r="N133" s="696" t="s">
        <v>691</v>
      </c>
      <c r="O133" s="697" t="s">
        <v>691</v>
      </c>
      <c r="P133" s="698" t="s">
        <v>691</v>
      </c>
      <c r="Q133" s="699" t="s">
        <v>691</v>
      </c>
      <c r="R133" s="700" t="s">
        <v>691</v>
      </c>
      <c r="S133" s="700" t="s">
        <v>691</v>
      </c>
      <c r="T133" s="700" t="s">
        <v>691</v>
      </c>
      <c r="U133" s="306"/>
      <c r="V133" s="300"/>
      <c r="W133" s="700" t="s">
        <v>691</v>
      </c>
    </row>
    <row r="134" spans="2:30" s="50" customFormat="1" x14ac:dyDescent="0.3">
      <c r="B134" s="294">
        <f t="shared" si="4"/>
        <v>6</v>
      </c>
      <c r="N134" s="696" t="s">
        <v>691</v>
      </c>
      <c r="O134" s="697" t="s">
        <v>691</v>
      </c>
      <c r="P134" s="698" t="s">
        <v>691</v>
      </c>
      <c r="Q134" s="699" t="s">
        <v>691</v>
      </c>
      <c r="R134" s="700" t="s">
        <v>691</v>
      </c>
      <c r="S134" s="700" t="s">
        <v>691</v>
      </c>
      <c r="T134" s="700" t="s">
        <v>691</v>
      </c>
      <c r="U134" s="306"/>
      <c r="V134" s="300"/>
      <c r="W134" s="700" t="s">
        <v>691</v>
      </c>
    </row>
    <row r="135" spans="2:30" s="50" customFormat="1" x14ac:dyDescent="0.3">
      <c r="B135" s="294">
        <f t="shared" si="4"/>
        <v>7</v>
      </c>
      <c r="N135" s="696" t="s">
        <v>691</v>
      </c>
      <c r="O135" s="697" t="s">
        <v>691</v>
      </c>
      <c r="P135" s="698" t="s">
        <v>691</v>
      </c>
      <c r="Q135" s="699" t="s">
        <v>691</v>
      </c>
      <c r="R135" s="700" t="s">
        <v>691</v>
      </c>
      <c r="S135" s="700" t="s">
        <v>691</v>
      </c>
      <c r="T135" s="700" t="s">
        <v>691</v>
      </c>
      <c r="U135" s="306"/>
      <c r="V135" s="300"/>
      <c r="W135" s="700" t="s">
        <v>691</v>
      </c>
    </row>
    <row r="136" spans="2:30" s="50" customFormat="1" x14ac:dyDescent="0.3">
      <c r="B136" s="294">
        <f t="shared" si="4"/>
        <v>8</v>
      </c>
      <c r="N136" s="696" t="s">
        <v>691</v>
      </c>
      <c r="O136" s="697" t="s">
        <v>691</v>
      </c>
      <c r="P136" s="698" t="s">
        <v>691</v>
      </c>
      <c r="Q136" s="699" t="s">
        <v>691</v>
      </c>
      <c r="R136" s="700" t="s">
        <v>691</v>
      </c>
      <c r="S136" s="700" t="s">
        <v>691</v>
      </c>
      <c r="T136" s="700" t="s">
        <v>691</v>
      </c>
      <c r="U136" s="306"/>
      <c r="V136" s="300"/>
      <c r="W136" s="700" t="s">
        <v>691</v>
      </c>
    </row>
    <row r="137" spans="2:30" s="50" customFormat="1" x14ac:dyDescent="0.3">
      <c r="B137" s="294">
        <f t="shared" si="4"/>
        <v>9</v>
      </c>
      <c r="N137" s="696" t="s">
        <v>691</v>
      </c>
      <c r="O137" s="697" t="s">
        <v>691</v>
      </c>
      <c r="P137" s="698" t="s">
        <v>691</v>
      </c>
      <c r="Q137" s="699" t="s">
        <v>691</v>
      </c>
      <c r="R137" s="700" t="s">
        <v>691</v>
      </c>
      <c r="S137" s="700" t="s">
        <v>691</v>
      </c>
      <c r="T137" s="700" t="s">
        <v>691</v>
      </c>
      <c r="U137" s="306"/>
      <c r="V137" s="300"/>
      <c r="W137" s="700" t="s">
        <v>691</v>
      </c>
    </row>
    <row r="138" spans="2:30" s="50" customFormat="1" x14ac:dyDescent="0.3">
      <c r="B138" s="294">
        <f t="shared" si="4"/>
        <v>10</v>
      </c>
      <c r="N138" s="696" t="s">
        <v>691</v>
      </c>
      <c r="O138" s="697" t="s">
        <v>691</v>
      </c>
      <c r="P138" s="698" t="s">
        <v>691</v>
      </c>
      <c r="Q138" s="699" t="s">
        <v>691</v>
      </c>
      <c r="R138" s="700" t="s">
        <v>691</v>
      </c>
      <c r="S138" s="700" t="s">
        <v>691</v>
      </c>
      <c r="T138" s="700" t="s">
        <v>691</v>
      </c>
      <c r="U138" s="306"/>
      <c r="V138" s="300"/>
      <c r="W138" s="700" t="s">
        <v>691</v>
      </c>
    </row>
    <row r="139" spans="2:30" s="50" customFormat="1" x14ac:dyDescent="0.3">
      <c r="B139" s="294">
        <f t="shared" si="4"/>
        <v>11</v>
      </c>
      <c r="N139" s="696" t="s">
        <v>691</v>
      </c>
      <c r="O139" s="697" t="s">
        <v>691</v>
      </c>
      <c r="P139" s="698" t="s">
        <v>691</v>
      </c>
      <c r="Q139" s="699" t="s">
        <v>691</v>
      </c>
      <c r="R139" s="700" t="s">
        <v>691</v>
      </c>
      <c r="S139" s="700" t="s">
        <v>691</v>
      </c>
      <c r="T139" s="700" t="s">
        <v>691</v>
      </c>
      <c r="U139" s="306"/>
      <c r="V139" s="300"/>
      <c r="W139" s="700" t="s">
        <v>691</v>
      </c>
    </row>
    <row r="140" spans="2:30" s="50" customFormat="1" x14ac:dyDescent="0.3">
      <c r="B140" s="294">
        <f t="shared" si="4"/>
        <v>12</v>
      </c>
      <c r="N140" s="696" t="s">
        <v>691</v>
      </c>
      <c r="O140" s="697" t="s">
        <v>691</v>
      </c>
      <c r="P140" s="698" t="s">
        <v>691</v>
      </c>
      <c r="Q140" s="699" t="s">
        <v>691</v>
      </c>
      <c r="R140" s="700" t="s">
        <v>691</v>
      </c>
      <c r="S140" s="700" t="s">
        <v>691</v>
      </c>
      <c r="T140" s="700" t="s">
        <v>691</v>
      </c>
      <c r="U140" s="306"/>
      <c r="V140" s="300"/>
      <c r="W140" s="700" t="s">
        <v>691</v>
      </c>
    </row>
    <row r="141" spans="2:30" s="50" customFormat="1" x14ac:dyDescent="0.3">
      <c r="B141" s="294">
        <f t="shared" si="4"/>
        <v>13</v>
      </c>
      <c r="N141" s="696" t="s">
        <v>691</v>
      </c>
      <c r="O141" s="697" t="s">
        <v>691</v>
      </c>
      <c r="P141" s="698" t="s">
        <v>691</v>
      </c>
      <c r="Q141" s="699" t="s">
        <v>691</v>
      </c>
      <c r="R141" s="700" t="s">
        <v>691</v>
      </c>
      <c r="S141" s="700" t="s">
        <v>691</v>
      </c>
      <c r="T141" s="700" t="s">
        <v>691</v>
      </c>
      <c r="U141" s="306"/>
      <c r="V141" s="300"/>
      <c r="W141" s="700" t="s">
        <v>691</v>
      </c>
    </row>
    <row r="142" spans="2:30" s="57" customFormat="1" ht="20.25" x14ac:dyDescent="0.25">
      <c r="B142" s="131" t="s">
        <v>417</v>
      </c>
      <c r="N142"/>
      <c r="O142"/>
      <c r="P142"/>
      <c r="Q142"/>
      <c r="R142"/>
      <c r="S142"/>
      <c r="T142"/>
      <c r="U142"/>
      <c r="V142"/>
      <c r="W142"/>
    </row>
    <row r="144" spans="2:30" x14ac:dyDescent="0.3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2:2" ht="20.25" x14ac:dyDescent="0.3">
      <c r="B145" s="131" t="s">
        <v>425</v>
      </c>
    </row>
  </sheetData>
  <sheetProtection algorithmName="SHA-512" hashValue="UupOe3QbgaPayAD6p2o1j6U7+EMraI8nYYEZka1gQLOpjIeGmCyoX7bZtFW9aJ+aUx4qS2/L20C4fMq20mA7+A==" saltValue="awbxdUggZaai1pkQ93z0Uw==" spinCount="100000" sheet="1" objects="1" scenarios="1" formatCells="0" formatRows="0"/>
  <mergeCells count="113">
    <mergeCell ref="D103:F103"/>
    <mergeCell ref="K103:M103"/>
    <mergeCell ref="U102:W102"/>
    <mergeCell ref="G54:H54"/>
    <mergeCell ref="I54:J54"/>
    <mergeCell ref="X28:X29"/>
    <mergeCell ref="Y28:Y29"/>
    <mergeCell ref="Z28:AB28"/>
    <mergeCell ref="K54:M54"/>
    <mergeCell ref="D54:F54"/>
    <mergeCell ref="N51:AB51"/>
    <mergeCell ref="N52:AB52"/>
    <mergeCell ref="U53:W53"/>
    <mergeCell ref="C29:E29"/>
    <mergeCell ref="U28:V28"/>
    <mergeCell ref="S28:S29"/>
    <mergeCell ref="R28:R29"/>
    <mergeCell ref="Q28:Q29"/>
    <mergeCell ref="P28:P29"/>
    <mergeCell ref="O28:O29"/>
    <mergeCell ref="N28:N29"/>
    <mergeCell ref="F29:I29"/>
    <mergeCell ref="J29:M29"/>
    <mergeCell ref="T28:T29"/>
    <mergeCell ref="N1:AB1"/>
    <mergeCell ref="N2:AB2"/>
    <mergeCell ref="N3:AB3"/>
    <mergeCell ref="N15:AB15"/>
    <mergeCell ref="N17:AB17"/>
    <mergeCell ref="N8:AB8"/>
    <mergeCell ref="N9:AB9"/>
    <mergeCell ref="N7:AB7"/>
    <mergeCell ref="N14:AB14"/>
    <mergeCell ref="N10:AB10"/>
    <mergeCell ref="N11:AB11"/>
    <mergeCell ref="N12:AB12"/>
    <mergeCell ref="N13:AB13"/>
    <mergeCell ref="N16:AB16"/>
    <mergeCell ref="S5:T5"/>
    <mergeCell ref="Z5:AA5"/>
    <mergeCell ref="X5:Y5"/>
    <mergeCell ref="Q5:R5"/>
    <mergeCell ref="V5:W5"/>
    <mergeCell ref="N21:AB21"/>
    <mergeCell ref="N24:AB24"/>
    <mergeCell ref="N18:AB18"/>
    <mergeCell ref="N19:AB19"/>
    <mergeCell ref="N20:AB20"/>
    <mergeCell ref="N116:R116"/>
    <mergeCell ref="N76:AB76"/>
    <mergeCell ref="N67:R67"/>
    <mergeCell ref="X53:X54"/>
    <mergeCell ref="Y53:Y54"/>
    <mergeCell ref="Z53:AB53"/>
    <mergeCell ref="P53:P54"/>
    <mergeCell ref="Q53:Q54"/>
    <mergeCell ref="R53:R54"/>
    <mergeCell ref="S53:S54"/>
    <mergeCell ref="T53:T54"/>
    <mergeCell ref="N53:N54"/>
    <mergeCell ref="O53:O54"/>
    <mergeCell ref="N26:AB26"/>
    <mergeCell ref="P68:R68"/>
    <mergeCell ref="N27:AB27"/>
    <mergeCell ref="W28:W29"/>
    <mergeCell ref="N22:AB22"/>
    <mergeCell ref="N23:AB23"/>
    <mergeCell ref="C78:E78"/>
    <mergeCell ref="F78:I78"/>
    <mergeCell ref="J78:M78"/>
    <mergeCell ref="S77:S78"/>
    <mergeCell ref="T77:T78"/>
    <mergeCell ref="N77:N78"/>
    <mergeCell ref="O77:O78"/>
    <mergeCell ref="P77:P78"/>
    <mergeCell ref="Q77:Q78"/>
    <mergeCell ref="R77:R78"/>
    <mergeCell ref="G103:H103"/>
    <mergeCell ref="I103:J103"/>
    <mergeCell ref="O68:O69"/>
    <mergeCell ref="N68:N69"/>
    <mergeCell ref="N102:N103"/>
    <mergeCell ref="O102:O103"/>
    <mergeCell ref="N75:AB75"/>
    <mergeCell ref="P102:P103"/>
    <mergeCell ref="Q102:Q103"/>
    <mergeCell ref="R102:R103"/>
    <mergeCell ref="Y77:Y78"/>
    <mergeCell ref="Z77:AB77"/>
    <mergeCell ref="U77:V77"/>
    <mergeCell ref="W77:W78"/>
    <mergeCell ref="X77:X78"/>
    <mergeCell ref="S102:S103"/>
    <mergeCell ref="T102:T103"/>
    <mergeCell ref="X102:X103"/>
    <mergeCell ref="Y102:Y103"/>
    <mergeCell ref="Z102:AB102"/>
    <mergeCell ref="N100:AB100"/>
    <mergeCell ref="N101:AB101"/>
    <mergeCell ref="W126:W127"/>
    <mergeCell ref="N117:N118"/>
    <mergeCell ref="O117:O118"/>
    <mergeCell ref="P117:R117"/>
    <mergeCell ref="U126:V126"/>
    <mergeCell ref="N126:N127"/>
    <mergeCell ref="O126:O127"/>
    <mergeCell ref="P126:P127"/>
    <mergeCell ref="Q126:Q127"/>
    <mergeCell ref="R126:R127"/>
    <mergeCell ref="S126:S127"/>
    <mergeCell ref="T126:T127"/>
    <mergeCell ref="N124:W124"/>
    <mergeCell ref="N125:W125"/>
  </mergeCells>
  <phoneticPr fontId="123" type="noConversion"/>
  <conditionalFormatting sqref="N7:N8 N10:N21">
    <cfRule type="expression" dxfId="791" priority="38">
      <formula>N7=CELL(mark)</formula>
    </cfRule>
  </conditionalFormatting>
  <conditionalFormatting sqref="N22:N23">
    <cfRule type="expression" dxfId="790" priority="37">
      <formula>N22=CELL(mark)</formula>
    </cfRule>
  </conditionalFormatting>
  <conditionalFormatting sqref="W56:W65">
    <cfRule type="expression" dxfId="789" priority="8">
      <formula>AND(N(F56)&gt;0,W56=0)</formula>
    </cfRule>
    <cfRule type="expression" dxfId="788" priority="9">
      <formula>F56=0</formula>
    </cfRule>
  </conditionalFormatting>
  <conditionalFormatting sqref="V56:V65 V105:V114">
    <cfRule type="expression" dxfId="787" priority="6">
      <formula>AND(N($E56)&gt;0,$V56=0)</formula>
    </cfRule>
    <cfRule type="expression" dxfId="786" priority="7">
      <formula>$E56=0</formula>
    </cfRule>
  </conditionalFormatting>
  <conditionalFormatting sqref="W105:W114">
    <cfRule type="expression" dxfId="785" priority="4">
      <formula>AND(N(F105)&gt;0,W105=0)</formula>
    </cfRule>
    <cfRule type="expression" dxfId="784" priority="5">
      <formula>F105=0</formula>
    </cfRule>
  </conditionalFormatting>
  <conditionalFormatting sqref="N9">
    <cfRule type="expression" dxfId="783" priority="3">
      <formula>N9=CELL(mark)</formula>
    </cfRule>
  </conditionalFormatting>
  <conditionalFormatting sqref="N24">
    <cfRule type="expression" dxfId="782" priority="1">
      <formula>N24=CELL(mark)</formula>
    </cfRule>
  </conditionalFormatting>
  <dataValidations count="9">
    <dataValidation type="whole" operator="greaterThanOrEqual" allowBlank="1" showErrorMessage="1" error="Въведете коректна стойност!" sqref="Z31:AB49 Z56:AB65 T80:T98 T56:T65 P71:R73 T31:T49 T105:T114" xr:uid="{5753437D-E57E-4616-B394-B5C361B8797D}">
      <formula1>0</formula1>
    </dataValidation>
    <dataValidation allowBlank="1" showInputMessage="1" showErrorMessage="1" promptTitle="Студенти бр." prompt="Брой студенти" sqref="T53:T54" xr:uid="{DD017C92-79A2-4825-9C21-24994C8669EB}"/>
    <dataValidation type="list" operator="greaterThanOrEqual" allowBlank="1" showErrorMessage="1" error="Въведете коректна стойност!" sqref="U56:U65 U105:U114" xr:uid="{C4FD049E-8D36-4FF6-86F8-310D24FDE0B5}">
      <formula1>INDIRECT("T_Практики[Практика и курсова работа]")</formula1>
    </dataValidation>
    <dataValidation allowBlank="1" showInputMessage="1" showErrorMessage="1" prompt="яаояао_x000a_оа_x000a_ж_x000a_аож_x000a_яа_x000a_ж_x000a_яа_x000a_ж_x000a_яа_x000a_ж_x000a__x000a_оаг яао ао гд оджс даосж дсаж даодж" sqref="U67 AF56:AF65" xr:uid="{25AFBA61-5FDD-4409-8F90-32F848178F2C}"/>
    <dataValidation type="whole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56:W65" xr:uid="{9953F02E-7D89-40BC-BC67-1B4CAE1D797E}">
      <formula1>IF(N(F56)&gt;0,1,1000)</formula1>
    </dataValidation>
    <dataValidation type="decimal" operator="greaterThanOrEqual" allowBlank="1" showErrorMessage="1" errorTitle="Статус на вид практика!" error="За избраната практика се попълва само брой дни на проведената практика." sqref="V105:V114" xr:uid="{A8B714A9-AB5B-4F64-9A6D-2F03F4215559}">
      <formula1>IF(N(E105)&gt;0,1,1000)</formula1>
    </dataValidation>
    <dataValidation type="whole" operator="greaterThanOrEqual" allowBlank="1" showErrorMessage="1" errorTitle="Статус на вида практика!" error="За избраната практика се попълва само брой дни на проведената практика._x000a_" sqref="V56:V65" xr:uid="{C62D9537-C420-4F3F-A3B1-BC047FDF2F9F}">
      <formula1>IF(N(E56)&gt;0,1,1000)</formula1>
    </dataValidation>
    <dataValidation type="decimal" operator="greaterThanOrEqual" allowBlank="1" showErrorMessage="1" error="Въведете коректна стойност!" sqref="U80:V98 Z80:AB98 Z105:AB114 P120:R122" xr:uid="{0796F458-3B44-4348-A441-D982A25581F3}">
      <formula1>0</formula1>
    </dataValidation>
    <dataValidation type="decimal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105:W114" xr:uid="{399E370C-ACA4-423C-BBB5-B186187A956C}">
      <formula1>IF(N(F105)&gt;0,1,1000)</formula1>
    </dataValidation>
  </dataValidations>
  <hyperlinks>
    <hyperlink ref="Z5" location="'2. ОКС &quot;бакалавър&quot;'!N7" tooltip="Инструкция" display="Инструкция" xr:uid="{00000000-0004-0000-0C00-000000000000}"/>
    <hyperlink ref="P5" location="'2. ОКС &quot;бакалавър&quot;'!B24" tooltip="Зимен семестър" display="Зимен семестър" xr:uid="{00000000-0004-0000-0C00-000001000000}"/>
    <hyperlink ref="Q5" location="LetenSemestarB" tooltip="Летен семестър" display="Летен семестър" xr:uid="{00000000-0004-0000-0C00-000002000000}"/>
    <hyperlink ref="S5" location="ObPotokB" tooltip="Обучение в поток" display="Обучение в поток" xr:uid="{00000000-0004-0000-0C00-000003000000}"/>
    <hyperlink ref="U5" location="'3. ОКС &quot;магистър&quot;'!N24" tooltip="ОКС &quot;магистър&quot;" display="ОКС &quot;магистър&quot;" xr:uid="{00000000-0004-0000-0C00-000005000000}"/>
    <hyperlink ref="V5" location="ONSDr" tooltip="ОНС &quot;доктор&quot;" display="ОНС &quot;доктор&quot;" xr:uid="{00000000-0004-0000-0C00-000006000000}"/>
    <hyperlink ref="O5" location="'1. Отчет'!B6" tooltip="Титулна страница" display="Титулна страница" xr:uid="{00000000-0004-0000-0C00-000007000000}"/>
    <hyperlink ref="AB5" r:id="rId1" tooltip="email: ipio@uni-sofia.bg" xr:uid="{00000000-0004-0000-0C00-000008000000}"/>
    <hyperlink ref="V5:W5" location="'4. ОНС &quot;доктор&quot;'!B21" tooltip="ОНС &quot;доктор&quot;" display="ОНС &quot;доктор&quot;" xr:uid="{E6DE25EA-0108-4D09-BD7D-69991FB6720A}"/>
    <hyperlink ref="Z5:AA5" location="'2. ОКС &quot;бакалавър&quot;'!N7" tooltip="Инструкция" display="Инструкция" xr:uid="{E41E62CC-3F5F-4B74-AB43-35DBA9C6FCEE}"/>
    <hyperlink ref="Q5:R5" location="'2. ОКС &quot;бакалавър&quot;'!N73" tooltip="Летен семестър" display="Летен семестър" xr:uid="{4ED8A6B4-5DE1-4F18-8357-835AE200FE67}"/>
    <hyperlink ref="S5:T5" location="'2. ОКС &quot;бакалавър&quot;'!N122" tooltip="Обучение в поток" display="Обучение в поток" xr:uid="{034FD91E-C574-4859-B9A6-5EB61E4D1CF3}"/>
  </hyperlinks>
  <pageMargins left="0.70866141732283472" right="0.70866141732283472" top="0.74803149606299213" bottom="0.74803149606299213" header="0.31496062992125984" footer="0.31496062992125984"/>
  <pageSetup paperSize="9" scale="59" orientation="landscape" r:id="rId2"/>
  <headerFooter>
    <oddFooter>&amp;RПодпис:...................................................................</oddFooter>
  </headerFooter>
  <rowBreaks count="2" manualBreakCount="2">
    <brk id="74" min="13" max="27" man="1"/>
    <brk id="123" min="13" max="27" man="1"/>
  </rowBreaks>
  <ignoredErrors>
    <ignoredError sqref="F56:F65 L106:L114 F105:F114 L105" unlockedFormula="1"/>
    <ignoredError sqref="P80:P98 P105:Y115 O120:O122 Q129:W141" listDataValidation="1"/>
  </ignoredErrors>
  <drawing r:id="rId3"/>
  <tableParts count="8"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9060509C-D452-4C3F-9497-054E98AC9050}">
          <x14:formula1>
            <xm:f>list!$A$64:$A$67</xm:f>
          </x14:formula1>
          <xm:sqref>X105:X114 X80:X98 X31:X49</xm:sqref>
        </x14:dataValidation>
        <x14:dataValidation type="list" allowBlank="1" showInputMessage="1" showErrorMessage="1" xr:uid="{CA0108AD-07AF-4125-9F5B-AE8C1DD481DC}">
          <x14:formula1>
            <xm:f>list!$A$53:$A$56</xm:f>
          </x14:formula1>
          <xm:sqref>T130:T141</xm:sqref>
        </x14:dataValidation>
        <x14:dataValidation type="list" allowBlank="1" showInputMessage="1" showErrorMessage="1" xr:uid="{76846632-01DD-45FA-9ED8-B6429411EEE4}">
          <x14:formula1>
            <xm:f>list!$A$24:$A$40</xm:f>
          </x14:formula1>
          <xm:sqref>P31:P49 P56:P65 O120:O122 O71:O73 P105:P114 P80:P98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20E50CE3-B974-48C1-81F4-16D6BCAE798C}">
          <x14:formula1>
            <xm:f>list!$A$59:$A$61</xm:f>
          </x14:formula1>
          <xm:sqref>W80:W98 W31:W49</xm:sqref>
        </x14:dataValidation>
        <x14:dataValidation type="list" allowBlank="1" showInputMessage="1" showErrorMessage="1" error="Въведете титуляр или асистиращ!" xr:uid="{2A22E63A-F728-4F2C-B7AD-9BE08A1F5DAC}">
          <x14:formula1>
            <xm:f>list!$A$78:$A$79</xm:f>
          </x14:formula1>
          <xm:sqref>Y80:Y98 Y105:Y114 Y31:Y49 Y56:Y65</xm:sqref>
        </x14:dataValidation>
        <x14:dataValidation type="list" allowBlank="1" showInputMessage="1" showErrorMessage="1" xr:uid="{290154F2-1566-4236-B153-ADFA4DA9B861}">
          <x14:formula1>
            <xm:f>list!$A$25:$A$41</xm:f>
          </x14:formula1>
          <xm:sqref>Q129:Q141</xm:sqref>
        </x14:dataValidation>
        <x14:dataValidation type="list" allowBlank="1" showInputMessage="1" showErrorMessage="1" xr:uid="{1AA47FF6-26E2-4BE6-BF00-761BA480F963}">
          <x14:formula1>
            <xm:f>list!$A$64:$A$67</xm:f>
          </x14:formula1>
          <xm:sqref>X56:X65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" xr:uid="{54B54D8A-7F32-47E5-B51D-B590DF83DF89}">
          <x14:formula1>
            <xm:f>list!$A$53:$A$56</xm:f>
          </x14:formula1>
          <xm:sqref>S31:S49 S105:S114 T129 S80:S98 S56:S65</xm:sqref>
        </x14:dataValidation>
        <x14:dataValidation type="list" allowBlank="1" showInputMessage="1" showErrorMessage="1" error="Посочете семестъра_x000a_зимен_x000a_летен_x000a_" xr:uid="{DDA7D069-33E8-42FB-AA38-B403F513175A}">
          <x14:formula1>
            <xm:f>INDIRECT(ПЕРИОД!$D$14)</xm:f>
          </x14:formula1>
          <xm:sqref>W129:W141</xm:sqref>
        </x14:dataValidation>
        <x14:dataValidation type="list" allowBlank="1" showErrorMessage="1" errorTitle="Вид" error="Въведете З, И или Ф" prompt="dfdf" xr:uid="{89826188-655F-43B2-91B5-7C580874F9CF}">
          <x14:formula1>
            <xm:f>list!$B$53:$B$55</xm:f>
          </x14:formula1>
          <xm:sqref>Q31:Q49 Q56:Q65 Q80:Q98 Q105:Q114 R129:R141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pageSetUpPr fitToPage="1"/>
  </sheetPr>
  <dimension ref="B1:AG145"/>
  <sheetViews>
    <sheetView showGridLines="0" showRowColHeaders="0" zoomScale="90" zoomScaleNormal="90" workbookViewId="0">
      <pane ySplit="5" topLeftCell="A74" activePane="bottomLeft" state="frozen"/>
      <selection activeCell="B7" sqref="B7:L7"/>
      <selection pane="bottomLeft" activeCell="N80" sqref="N80"/>
    </sheetView>
  </sheetViews>
  <sheetFormatPr defaultColWidth="9.140625" defaultRowHeight="16.5" x14ac:dyDescent="0.3"/>
  <cols>
    <col min="1" max="1" width="2.28515625" style="41" customWidth="1"/>
    <col min="2" max="2" width="11.42578125" style="57" hidden="1" customWidth="1"/>
    <col min="3" max="3" width="11.140625" style="41" hidden="1" customWidth="1"/>
    <col min="4" max="4" width="11.7109375" style="41" hidden="1" customWidth="1"/>
    <col min="5" max="10" width="11.140625" style="41" hidden="1" customWidth="1"/>
    <col min="11" max="11" width="12.140625" style="41" hidden="1" customWidth="1"/>
    <col min="12" max="12" width="12.42578125" style="41" hidden="1" customWidth="1"/>
    <col min="13" max="13" width="13.140625" style="41" hidden="1" customWidth="1"/>
    <col min="14" max="14" width="43.140625" style="41" customWidth="1"/>
    <col min="15" max="15" width="40.140625" style="41" customWidth="1"/>
    <col min="16" max="16" width="15.7109375" style="41" customWidth="1"/>
    <col min="17" max="17" width="9.5703125" style="41" customWidth="1"/>
    <col min="18" max="18" width="9.42578125" style="41" customWidth="1"/>
    <col min="19" max="20" width="10" style="41" customWidth="1"/>
    <col min="21" max="21" width="16.85546875" style="41" customWidth="1"/>
    <col min="22" max="22" width="13" style="41" customWidth="1"/>
    <col min="23" max="23" width="10.140625" style="41" customWidth="1"/>
    <col min="24" max="24" width="11.7109375" style="41" customWidth="1"/>
    <col min="25" max="25" width="11" style="41" customWidth="1"/>
    <col min="26" max="26" width="9.140625" style="41"/>
    <col min="27" max="27" width="8.42578125" style="41" customWidth="1"/>
    <col min="28" max="28" width="9.140625" style="41"/>
    <col min="29" max="30" width="12.140625" style="41" customWidth="1"/>
    <col min="31" max="16384" width="9.140625" style="41"/>
  </cols>
  <sheetData>
    <row r="1" spans="2:28" x14ac:dyDescent="0.3">
      <c r="N1" s="1595" t="str">
        <f>ПЕРИОД!D12</f>
        <v>Факултет / катедра / ----</v>
      </c>
      <c r="O1" s="1595"/>
      <c r="P1" s="1595"/>
      <c r="Q1" s="1595"/>
      <c r="R1" s="1595"/>
      <c r="S1" s="1595"/>
      <c r="T1" s="1595"/>
      <c r="U1" s="1595"/>
      <c r="V1" s="1595"/>
      <c r="W1" s="1595"/>
      <c r="X1" s="1595"/>
      <c r="Y1" s="1595"/>
      <c r="Z1" s="1595"/>
      <c r="AA1" s="1595"/>
      <c r="AB1" s="1595"/>
    </row>
    <row r="2" spans="2:28" ht="18.75" x14ac:dyDescent="0.3">
      <c r="N2" s="1596" t="str">
        <f>ПЕРИОД!D17&amp;", ОКС ""магистър"" след придобита образователно-квалификационна степен на висшето образование"</f>
        <v>Индивидуален отчет, ОКС "магистър" след придобита образователно-квалификационна степен на висшето образование</v>
      </c>
      <c r="O2" s="1596"/>
      <c r="P2" s="1596"/>
      <c r="Q2" s="1596"/>
      <c r="R2" s="1596"/>
      <c r="S2" s="1596"/>
      <c r="T2" s="1596"/>
      <c r="U2" s="1596"/>
      <c r="V2" s="1596"/>
      <c r="W2" s="1596"/>
      <c r="X2" s="1596"/>
      <c r="Y2" s="1596"/>
      <c r="Z2" s="1596"/>
      <c r="AA2" s="1596"/>
      <c r="AB2" s="1596"/>
    </row>
    <row r="3" spans="2:28" ht="21" customHeight="1" x14ac:dyDescent="0.3">
      <c r="N3" s="1597" t="s">
        <v>118</v>
      </c>
      <c r="O3" s="1597"/>
      <c r="P3" s="1597"/>
      <c r="Q3" s="1597"/>
      <c r="R3" s="1597"/>
      <c r="S3" s="1597"/>
      <c r="T3" s="1597"/>
      <c r="U3" s="1597"/>
      <c r="V3" s="1597"/>
      <c r="W3" s="1597"/>
      <c r="X3" s="1597"/>
      <c r="Y3" s="1597"/>
      <c r="Z3" s="1597"/>
      <c r="AA3" s="1597"/>
      <c r="AB3" s="1597"/>
    </row>
    <row r="4" spans="2:28" ht="9" customHeight="1" x14ac:dyDescent="0.3"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</row>
    <row r="5" spans="2:28" s="42" customFormat="1" ht="30" customHeight="1" x14ac:dyDescent="0.25">
      <c r="B5" s="57"/>
      <c r="N5" s="590" t="s">
        <v>1</v>
      </c>
      <c r="O5" s="664" t="s">
        <v>117</v>
      </c>
      <c r="P5" s="651" t="s">
        <v>114</v>
      </c>
      <c r="Q5" s="1635" t="s">
        <v>115</v>
      </c>
      <c r="R5" s="1635"/>
      <c r="S5" s="1635" t="s">
        <v>116</v>
      </c>
      <c r="T5" s="1635"/>
      <c r="U5" s="651" t="s">
        <v>67</v>
      </c>
      <c r="V5" s="1635" t="s">
        <v>69</v>
      </c>
      <c r="W5" s="1635"/>
      <c r="X5" s="1635" t="s">
        <v>137</v>
      </c>
      <c r="Y5" s="1635"/>
      <c r="Z5" s="1635" t="s">
        <v>113</v>
      </c>
      <c r="AA5" s="1635"/>
      <c r="AB5" s="665" t="s">
        <v>650</v>
      </c>
    </row>
    <row r="6" spans="2:28" s="102" customFormat="1" ht="9" customHeight="1" thickBot="1" x14ac:dyDescent="0.3">
      <c r="B6" s="148"/>
      <c r="N6" s="103"/>
      <c r="O6" s="104"/>
      <c r="P6" s="104"/>
      <c r="Q6" s="104"/>
      <c r="R6" s="104"/>
      <c r="T6" s="104"/>
      <c r="V6" s="104"/>
      <c r="Y6" s="104"/>
      <c r="AB6" s="104"/>
    </row>
    <row r="7" spans="2:28" ht="24" customHeight="1" x14ac:dyDescent="0.3">
      <c r="N7" s="1647" t="s">
        <v>112</v>
      </c>
      <c r="O7" s="1648"/>
      <c r="P7" s="1648"/>
      <c r="Q7" s="1648"/>
      <c r="R7" s="1648"/>
      <c r="S7" s="1648"/>
      <c r="T7" s="1648"/>
      <c r="U7" s="1648"/>
      <c r="V7" s="1648"/>
      <c r="W7" s="1648"/>
      <c r="X7" s="1648"/>
      <c r="Y7" s="1648"/>
      <c r="Z7" s="1648"/>
      <c r="AA7" s="1648"/>
      <c r="AB7" s="1649"/>
    </row>
    <row r="8" spans="2:28" s="43" customFormat="1" ht="20.25" customHeight="1" x14ac:dyDescent="0.25">
      <c r="B8" s="57"/>
      <c r="N8" s="1644" t="s">
        <v>685</v>
      </c>
      <c r="O8" s="1645"/>
      <c r="P8" s="1645"/>
      <c r="Q8" s="1645"/>
      <c r="R8" s="1645"/>
      <c r="S8" s="1645"/>
      <c r="T8" s="1645"/>
      <c r="U8" s="1645"/>
      <c r="V8" s="1645"/>
      <c r="W8" s="1645"/>
      <c r="X8" s="1645"/>
      <c r="Y8" s="1645"/>
      <c r="Z8" s="1645"/>
      <c r="AA8" s="1645"/>
      <c r="AB8" s="1646"/>
    </row>
    <row r="9" spans="2:28" s="259" customFormat="1" ht="66.75" customHeight="1" x14ac:dyDescent="0.25">
      <c r="N9" s="1638" t="s">
        <v>681</v>
      </c>
      <c r="O9" s="1639"/>
      <c r="P9" s="1639"/>
      <c r="Q9" s="1639"/>
      <c r="R9" s="1639"/>
      <c r="S9" s="1639"/>
      <c r="T9" s="1639"/>
      <c r="U9" s="1639"/>
      <c r="V9" s="1639"/>
      <c r="W9" s="1639"/>
      <c r="X9" s="1639"/>
      <c r="Y9" s="1639"/>
      <c r="Z9" s="1639"/>
      <c r="AA9" s="1639"/>
      <c r="AB9" s="1640"/>
    </row>
    <row r="10" spans="2:28" s="43" customFormat="1" ht="36" customHeight="1" x14ac:dyDescent="0.25">
      <c r="B10" s="57"/>
      <c r="N10" s="1632" t="s">
        <v>682</v>
      </c>
      <c r="O10" s="1633"/>
      <c r="P10" s="1633"/>
      <c r="Q10" s="1633"/>
      <c r="R10" s="1633"/>
      <c r="S10" s="1633"/>
      <c r="T10" s="1633"/>
      <c r="U10" s="1633"/>
      <c r="V10" s="1633"/>
      <c r="W10" s="1633"/>
      <c r="X10" s="1633"/>
      <c r="Y10" s="1633"/>
      <c r="Z10" s="1633"/>
      <c r="AA10" s="1633"/>
      <c r="AB10" s="1634"/>
    </row>
    <row r="11" spans="2:28" ht="40.5" customHeight="1" x14ac:dyDescent="0.3">
      <c r="N11" s="1644" t="s">
        <v>683</v>
      </c>
      <c r="O11" s="1645"/>
      <c r="P11" s="1645"/>
      <c r="Q11" s="1645"/>
      <c r="R11" s="1645"/>
      <c r="S11" s="1645"/>
      <c r="T11" s="1645"/>
      <c r="U11" s="1645"/>
      <c r="V11" s="1645"/>
      <c r="W11" s="1645"/>
      <c r="X11" s="1645"/>
      <c r="Y11" s="1645"/>
      <c r="Z11" s="1645"/>
      <c r="AA11" s="1645"/>
      <c r="AB11" s="1646"/>
    </row>
    <row r="12" spans="2:28" ht="19.5" customHeight="1" x14ac:dyDescent="0.3">
      <c r="N12" s="1644" t="s">
        <v>660</v>
      </c>
      <c r="O12" s="1645"/>
      <c r="P12" s="1645"/>
      <c r="Q12" s="1645"/>
      <c r="R12" s="1645"/>
      <c r="S12" s="1645"/>
      <c r="T12" s="1645"/>
      <c r="U12" s="1645"/>
      <c r="V12" s="1645"/>
      <c r="W12" s="1645"/>
      <c r="X12" s="1645"/>
      <c r="Y12" s="1645"/>
      <c r="Z12" s="1645"/>
      <c r="AA12" s="1645"/>
      <c r="AB12" s="1646"/>
    </row>
    <row r="13" spans="2:28" ht="20.25" customHeight="1" x14ac:dyDescent="0.3">
      <c r="N13" s="1644" t="s">
        <v>661</v>
      </c>
      <c r="O13" s="1645"/>
      <c r="P13" s="1645"/>
      <c r="Q13" s="1645"/>
      <c r="R13" s="1645"/>
      <c r="S13" s="1645"/>
      <c r="T13" s="1645"/>
      <c r="U13" s="1645"/>
      <c r="V13" s="1645"/>
      <c r="W13" s="1645"/>
      <c r="X13" s="1645"/>
      <c r="Y13" s="1645"/>
      <c r="Z13" s="1645"/>
      <c r="AA13" s="1645"/>
      <c r="AB13" s="1646"/>
    </row>
    <row r="14" spans="2:28" ht="20.25" customHeight="1" x14ac:dyDescent="0.3">
      <c r="N14" s="1644" t="s">
        <v>684</v>
      </c>
      <c r="O14" s="1645"/>
      <c r="P14" s="1645"/>
      <c r="Q14" s="1645"/>
      <c r="R14" s="1645"/>
      <c r="S14" s="1645"/>
      <c r="T14" s="1645"/>
      <c r="U14" s="1645"/>
      <c r="V14" s="1645"/>
      <c r="W14" s="1645"/>
      <c r="X14" s="1645"/>
      <c r="Y14" s="1645"/>
      <c r="Z14" s="1645"/>
      <c r="AA14" s="1645"/>
      <c r="AB14" s="1646"/>
    </row>
    <row r="15" spans="2:28" ht="20.25" customHeight="1" x14ac:dyDescent="0.3">
      <c r="N15" s="1641" t="s">
        <v>482</v>
      </c>
      <c r="O15" s="1642"/>
      <c r="P15" s="1642"/>
      <c r="Q15" s="1642"/>
      <c r="R15" s="1642"/>
      <c r="S15" s="1642"/>
      <c r="T15" s="1642"/>
      <c r="U15" s="1642"/>
      <c r="V15" s="1642"/>
      <c r="W15" s="1642"/>
      <c r="X15" s="1642"/>
      <c r="Y15" s="1642"/>
      <c r="Z15" s="1642"/>
      <c r="AA15" s="1642"/>
      <c r="AB15" s="1643"/>
    </row>
    <row r="16" spans="2:28" ht="20.25" customHeight="1" x14ac:dyDescent="0.3">
      <c r="N16" s="1598" t="s">
        <v>687</v>
      </c>
      <c r="O16" s="1599"/>
      <c r="P16" s="1599"/>
      <c r="Q16" s="1599"/>
      <c r="R16" s="1599"/>
      <c r="S16" s="1599"/>
      <c r="T16" s="1599"/>
      <c r="U16" s="1599"/>
      <c r="V16" s="1599"/>
      <c r="W16" s="1599"/>
      <c r="X16" s="1599"/>
      <c r="Y16" s="1599"/>
      <c r="Z16" s="1599"/>
      <c r="AA16" s="1599"/>
      <c r="AB16" s="1600"/>
    </row>
    <row r="17" spans="2:33" ht="33.75" customHeight="1" x14ac:dyDescent="0.3">
      <c r="N17" s="1632" t="s">
        <v>483</v>
      </c>
      <c r="O17" s="1633"/>
      <c r="P17" s="1633"/>
      <c r="Q17" s="1633"/>
      <c r="R17" s="1633"/>
      <c r="S17" s="1633"/>
      <c r="T17" s="1633"/>
      <c r="U17" s="1633"/>
      <c r="V17" s="1633"/>
      <c r="W17" s="1633"/>
      <c r="X17" s="1633"/>
      <c r="Y17" s="1633"/>
      <c r="Z17" s="1633"/>
      <c r="AA17" s="1633"/>
      <c r="AB17" s="1634"/>
    </row>
    <row r="18" spans="2:33" ht="20.25" customHeight="1" x14ac:dyDescent="0.3">
      <c r="N18" s="1632" t="s">
        <v>500</v>
      </c>
      <c r="O18" s="1633"/>
      <c r="P18" s="1633"/>
      <c r="Q18" s="1633"/>
      <c r="R18" s="1633"/>
      <c r="S18" s="1633"/>
      <c r="T18" s="1633"/>
      <c r="U18" s="1633"/>
      <c r="V18" s="1633"/>
      <c r="W18" s="1633"/>
      <c r="X18" s="1633"/>
      <c r="Y18" s="1633"/>
      <c r="Z18" s="1633"/>
      <c r="AA18" s="1633"/>
      <c r="AB18" s="1634"/>
    </row>
    <row r="19" spans="2:33" ht="20.25" customHeight="1" x14ac:dyDescent="0.3">
      <c r="N19" s="1632" t="s">
        <v>484</v>
      </c>
      <c r="O19" s="1633"/>
      <c r="P19" s="1633"/>
      <c r="Q19" s="1633"/>
      <c r="R19" s="1633"/>
      <c r="S19" s="1633"/>
      <c r="T19" s="1633"/>
      <c r="U19" s="1633"/>
      <c r="V19" s="1633"/>
      <c r="W19" s="1633"/>
      <c r="X19" s="1633"/>
      <c r="Y19" s="1633"/>
      <c r="Z19" s="1633"/>
      <c r="AA19" s="1633"/>
      <c r="AB19" s="1634"/>
    </row>
    <row r="20" spans="2:33" ht="20.25" customHeight="1" x14ac:dyDescent="0.3">
      <c r="N20" s="1632" t="s">
        <v>485</v>
      </c>
      <c r="O20" s="1633"/>
      <c r="P20" s="1633"/>
      <c r="Q20" s="1633"/>
      <c r="R20" s="1633"/>
      <c r="S20" s="1633"/>
      <c r="T20" s="1633"/>
      <c r="U20" s="1633"/>
      <c r="V20" s="1633"/>
      <c r="W20" s="1633"/>
      <c r="X20" s="1633"/>
      <c r="Y20" s="1633"/>
      <c r="Z20" s="1633"/>
      <c r="AA20" s="1633"/>
      <c r="AB20" s="1634"/>
    </row>
    <row r="21" spans="2:33" ht="33.75" customHeight="1" x14ac:dyDescent="0.3">
      <c r="N21" s="1632" t="s">
        <v>501</v>
      </c>
      <c r="O21" s="1633"/>
      <c r="P21" s="1633"/>
      <c r="Q21" s="1633"/>
      <c r="R21" s="1633"/>
      <c r="S21" s="1633"/>
      <c r="T21" s="1633"/>
      <c r="U21" s="1633"/>
      <c r="V21" s="1633"/>
      <c r="W21" s="1633"/>
      <c r="X21" s="1633"/>
      <c r="Y21" s="1633"/>
      <c r="Z21" s="1633"/>
      <c r="AA21" s="1633"/>
      <c r="AB21" s="1634"/>
    </row>
    <row r="22" spans="2:33" ht="32.25" hidden="1" customHeight="1" x14ac:dyDescent="0.3">
      <c r="N22" s="1632" t="s">
        <v>766</v>
      </c>
      <c r="O22" s="1633"/>
      <c r="P22" s="1633"/>
      <c r="Q22" s="1633"/>
      <c r="R22" s="1633"/>
      <c r="S22" s="1633"/>
      <c r="T22" s="1633"/>
      <c r="U22" s="1633"/>
      <c r="V22" s="1633"/>
      <c r="W22" s="1633"/>
      <c r="X22" s="1633"/>
      <c r="Y22" s="1633"/>
      <c r="Z22" s="1633"/>
      <c r="AA22" s="1633"/>
      <c r="AB22" s="1634"/>
    </row>
    <row r="23" spans="2:33" ht="32.25" customHeight="1" x14ac:dyDescent="0.3">
      <c r="N23" s="1632" t="s">
        <v>768</v>
      </c>
      <c r="O23" s="1633"/>
      <c r="P23" s="1633"/>
      <c r="Q23" s="1633"/>
      <c r="R23" s="1633"/>
      <c r="S23" s="1633"/>
      <c r="T23" s="1633"/>
      <c r="U23" s="1633"/>
      <c r="V23" s="1633"/>
      <c r="W23" s="1633"/>
      <c r="X23" s="1633"/>
      <c r="Y23" s="1633"/>
      <c r="Z23" s="1633"/>
      <c r="AA23" s="1633"/>
      <c r="AB23" s="1634"/>
    </row>
    <row r="24" spans="2:33" s="53" customFormat="1" ht="66.75" customHeight="1" thickBot="1" x14ac:dyDescent="0.35">
      <c r="B24" s="648"/>
      <c r="N24" s="1572" t="s">
        <v>686</v>
      </c>
      <c r="O24" s="1573"/>
      <c r="P24" s="1573"/>
      <c r="Q24" s="1573"/>
      <c r="R24" s="1573"/>
      <c r="S24" s="1573"/>
      <c r="T24" s="1573"/>
      <c r="U24" s="1573"/>
      <c r="V24" s="1573"/>
      <c r="W24" s="1573"/>
      <c r="X24" s="1573"/>
      <c r="Y24" s="1573"/>
      <c r="Z24" s="1573"/>
      <c r="AA24" s="1573"/>
      <c r="AB24" s="1574"/>
    </row>
    <row r="25" spans="2:33" ht="9.9499999999999993" hidden="1" customHeight="1" x14ac:dyDescent="0.3">
      <c r="B25" s="57" t="s">
        <v>416</v>
      </c>
      <c r="L25" s="41" t="s">
        <v>411</v>
      </c>
      <c r="M25" s="41" t="b">
        <f>ПЕРИОД!D10="Зимен"</f>
        <v>0</v>
      </c>
    </row>
    <row r="26" spans="2:33" ht="26.25" hidden="1" x14ac:dyDescent="0.3">
      <c r="B26" s="216" t="s">
        <v>420</v>
      </c>
      <c r="M26" s="41" t="str">
        <f>IF(M25,1,"1.1")</f>
        <v>1.1</v>
      </c>
      <c r="N26" s="1623" t="str">
        <f>M26&amp;". ОКС ""магистър"" след придобита образователно-квалификационна степен на висшето образование – аудиторна заетост и изпитани студенти –  ЗИМЕН семестър"</f>
        <v>1.1. ОКС "магистър" след придобита образователно-квалификационна степен на висшето образование – аудиторна заетост и изпитани студенти –  ЗИМЕН семестър</v>
      </c>
      <c r="O26" s="1624"/>
      <c r="P26" s="1624"/>
      <c r="Q26" s="1624"/>
      <c r="R26" s="1624"/>
      <c r="S26" s="1624"/>
      <c r="T26" s="1624"/>
      <c r="U26" s="1624"/>
      <c r="V26" s="1624"/>
      <c r="W26" s="1624"/>
      <c r="X26" s="1624"/>
      <c r="Y26" s="1624"/>
      <c r="Z26" s="1624"/>
      <c r="AA26" s="1624"/>
      <c r="AB26" s="1625"/>
      <c r="AC26" s="289"/>
    </row>
    <row r="27" spans="2:33" ht="21" hidden="1" thickBot="1" x14ac:dyDescent="0.35">
      <c r="B27" s="131" t="s">
        <v>477</v>
      </c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9"/>
      <c r="N27" s="1629" t="s">
        <v>801</v>
      </c>
      <c r="O27" s="1630"/>
      <c r="P27" s="1630"/>
      <c r="Q27" s="1630"/>
      <c r="R27" s="1630"/>
      <c r="S27" s="1630"/>
      <c r="T27" s="1630"/>
      <c r="U27" s="1630"/>
      <c r="V27" s="1630"/>
      <c r="W27" s="1630"/>
      <c r="X27" s="1630"/>
      <c r="Y27" s="1630"/>
      <c r="Z27" s="1630"/>
      <c r="AA27" s="1630"/>
      <c r="AB27" s="1631"/>
    </row>
    <row r="28" spans="2:33" ht="21" hidden="1" thickBot="1" x14ac:dyDescent="0.35">
      <c r="B28" s="131" t="s">
        <v>418</v>
      </c>
      <c r="C28" s="123"/>
      <c r="D28" s="123"/>
      <c r="E28" s="123"/>
      <c r="F28" s="123"/>
      <c r="G28" s="123"/>
      <c r="H28" s="123"/>
      <c r="I28" s="121"/>
      <c r="J28" s="121"/>
      <c r="L28" s="123"/>
      <c r="M28" s="123"/>
      <c r="N28" s="1655" t="s">
        <v>16</v>
      </c>
      <c r="O28" s="1653" t="s">
        <v>157</v>
      </c>
      <c r="P28" s="1654" t="s">
        <v>18</v>
      </c>
      <c r="Q28" s="1655" t="s">
        <v>19</v>
      </c>
      <c r="R28" s="1653" t="s">
        <v>20</v>
      </c>
      <c r="S28" s="1650" t="s">
        <v>569</v>
      </c>
      <c r="T28" s="1652" t="s">
        <v>508</v>
      </c>
      <c r="U28" s="1653" t="str">
        <f>IF(ПЕРИОД!D10="План","Възложени часове","Проведени часове")</f>
        <v>Проведени часове</v>
      </c>
      <c r="V28" s="1654"/>
      <c r="W28" s="1655" t="s">
        <v>21</v>
      </c>
      <c r="X28" s="1653" t="s">
        <v>474</v>
      </c>
      <c r="Y28" s="1650" t="s">
        <v>312</v>
      </c>
      <c r="Z28" s="1652" t="s">
        <v>335</v>
      </c>
      <c r="AA28" s="1653"/>
      <c r="AB28" s="1650"/>
      <c r="AG28" s="211"/>
    </row>
    <row r="29" spans="2:33" ht="26.25" hidden="1" thickBot="1" x14ac:dyDescent="0.35">
      <c r="B29" s="131" t="s">
        <v>419</v>
      </c>
      <c r="C29" s="1658" t="s">
        <v>316</v>
      </c>
      <c r="D29" s="1659"/>
      <c r="E29" s="1659"/>
      <c r="F29" s="1658" t="s">
        <v>313</v>
      </c>
      <c r="G29" s="1659"/>
      <c r="H29" s="1659"/>
      <c r="I29" s="1660"/>
      <c r="J29" s="1658" t="s">
        <v>339</v>
      </c>
      <c r="K29" s="1659"/>
      <c r="L29" s="1659"/>
      <c r="M29" s="1659"/>
      <c r="N29" s="1656"/>
      <c r="O29" s="1657"/>
      <c r="P29" s="1662"/>
      <c r="Q29" s="1656"/>
      <c r="R29" s="1657"/>
      <c r="S29" s="1651"/>
      <c r="T29" s="1661"/>
      <c r="U29" s="267" t="s">
        <v>329</v>
      </c>
      <c r="V29" s="268" t="s">
        <v>393</v>
      </c>
      <c r="W29" s="1656"/>
      <c r="X29" s="1657"/>
      <c r="Y29" s="1651"/>
      <c r="Z29" s="270" t="s">
        <v>330</v>
      </c>
      <c r="AA29" s="267" t="s">
        <v>331</v>
      </c>
      <c r="AB29" s="269" t="s">
        <v>394</v>
      </c>
    </row>
    <row r="30" spans="2:33" s="51" customFormat="1" ht="21" hidden="1" thickBot="1" x14ac:dyDescent="0.25">
      <c r="B30" s="131" t="s">
        <v>425</v>
      </c>
      <c r="C30" s="159" t="s">
        <v>422</v>
      </c>
      <c r="D30" s="160" t="s">
        <v>318</v>
      </c>
      <c r="E30" s="160" t="s">
        <v>338</v>
      </c>
      <c r="F30" s="159" t="s">
        <v>314</v>
      </c>
      <c r="G30" s="160" t="s">
        <v>424</v>
      </c>
      <c r="H30" s="160" t="s">
        <v>396</v>
      </c>
      <c r="I30" s="870" t="s">
        <v>336</v>
      </c>
      <c r="J30" s="871" t="s">
        <v>337</v>
      </c>
      <c r="K30" s="160" t="s">
        <v>392</v>
      </c>
      <c r="L30" s="160" t="s">
        <v>341</v>
      </c>
      <c r="M30" s="161" t="s">
        <v>404</v>
      </c>
      <c r="N30" s="546" t="s">
        <v>16</v>
      </c>
      <c r="O30" s="546" t="s">
        <v>421</v>
      </c>
      <c r="P30" s="546" t="s">
        <v>18</v>
      </c>
      <c r="Q30" s="547" t="s">
        <v>19</v>
      </c>
      <c r="R30" s="546" t="s">
        <v>20</v>
      </c>
      <c r="S30" s="548" t="s">
        <v>630</v>
      </c>
      <c r="T30" s="549" t="s">
        <v>628</v>
      </c>
      <c r="U30" s="546" t="s">
        <v>334</v>
      </c>
      <c r="V30" s="548" t="s">
        <v>342</v>
      </c>
      <c r="W30" s="546" t="s">
        <v>21</v>
      </c>
      <c r="X30" s="546" t="s">
        <v>631</v>
      </c>
      <c r="Y30" s="546" t="s">
        <v>333</v>
      </c>
      <c r="Z30" s="547" t="s">
        <v>330</v>
      </c>
      <c r="AA30" s="546" t="s">
        <v>86</v>
      </c>
      <c r="AB30" s="548" t="s">
        <v>332</v>
      </c>
    </row>
    <row r="31" spans="2:33" s="47" customFormat="1" hidden="1" x14ac:dyDescent="0.3">
      <c r="B31" s="294">
        <f>N(B30)+1</f>
        <v>1</v>
      </c>
      <c r="C31" s="314">
        <f>IFERROR(AND(MAZZS[[#This Row],[Дисциплина]]&lt;&gt;0,MAZZS[[#This Row],[Вид]]&lt;&gt;"З",MAZZS[[#This Row],[Вид]]&lt;&gt;"И",MAZZS[[#This Row],[Вид]]&lt;&gt;"Ф")*1,0)</f>
        <v>0</v>
      </c>
      <c r="D31" s="314">
        <f>AND(MAZZS[[#This Row],[Дисциплина]]&lt;&gt;0,OR(N(MAZZS[[#This Row],[Лекции]])&lt;&gt;0,N(MAZZS[[#This Row],[Упражнения]])&lt;&gt;0),N(MAZZS[[#This Row],[Студенти]])=0)*1</f>
        <v>0</v>
      </c>
      <c r="E31" s="314">
        <f>AND(N(MAZZS[[#This Row],[Изпитани]])&lt;&gt;0,MAZZS[[#This Row],[Изпитващ]]=0)*1</f>
        <v>0</v>
      </c>
      <c r="F31" s="315">
        <f>IFERROR(VLOOKUP(MAZZS[[#This Row],[Език]],Коефициент_Eзик[],2,0),0)</f>
        <v>1</v>
      </c>
      <c r="G31" s="314">
        <f>IFERROR(IF(MAZZS[[#This Row],[Студенти]]&gt;=6,1,VLOOKUP(MAZZS[[#This Row],[Студенти]],RdukciaChasove[],2,0)),0)</f>
        <v>0</v>
      </c>
      <c r="H31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1" s="861">
        <f>IFERROR(VLOOKUP(MAZZS[[#This Row],[ФормаОб]],T_кТО[],2,0),0)</f>
        <v>0</v>
      </c>
      <c r="J31" s="872">
        <f>N(MAZZS[[#This Row],[ТО]])*0.5</f>
        <v>0</v>
      </c>
      <c r="K31" s="314">
        <f>N(MAZZS[[#This Row],[Изпитани]])*MAZZS[[#This Row],[кИзпитващ]]</f>
        <v>0</v>
      </c>
      <c r="L31" s="314">
        <f>N(MAZZS[[#This Row],[Лекции]])*MAZZS[[#This Row],[кЕзик]]*MAZZS[[#This Row],[кСтудент]]*кЛекции</f>
        <v>0</v>
      </c>
      <c r="M31" s="316">
        <f>N(MAZZS[[#This Row],[Упражнения]])*MAZZS[[#This Row],[кЕзик]]*MAZZS[[#This Row],[кСтудент]]*кУпражнение</f>
        <v>0</v>
      </c>
      <c r="N31" s="697"/>
      <c r="O31" s="697"/>
      <c r="P31" s="700"/>
      <c r="Q31" s="727"/>
      <c r="R31" s="700"/>
      <c r="S31" s="699"/>
      <c r="T31" s="325"/>
      <c r="U31" s="299"/>
      <c r="V31" s="300"/>
      <c r="W31" s="731" t="s">
        <v>84</v>
      </c>
      <c r="X31" s="700"/>
      <c r="Y31" s="700"/>
      <c r="Z31" s="306"/>
      <c r="AA31" s="299"/>
      <c r="AB31" s="300"/>
    </row>
    <row r="32" spans="2:33" s="47" customFormat="1" hidden="1" x14ac:dyDescent="0.3">
      <c r="B32" s="294">
        <f t="shared" ref="B32:B49" si="0">N(B31)+1</f>
        <v>2</v>
      </c>
      <c r="C32" s="314">
        <f>IFERROR(AND(MAZZS[[#This Row],[Дисциплина]]&lt;&gt;0,MAZZS[[#This Row],[Вид]]&lt;&gt;"З",MAZZS[[#This Row],[Вид]]&lt;&gt;"И",MAZZS[[#This Row],[Вид]]&lt;&gt;"Ф")*1,0)</f>
        <v>0</v>
      </c>
      <c r="D32" s="314">
        <f>AND(MAZZS[[#This Row],[Дисциплина]]&lt;&gt;0,OR(N(MAZZS[[#This Row],[Лекции]])&lt;&gt;0,N(MAZZS[[#This Row],[Упражнения]])&lt;&gt;0),N(MAZZS[[#This Row],[Студенти]])=0)*1</f>
        <v>0</v>
      </c>
      <c r="E32" s="314">
        <f>AND(N(MAZZS[[#This Row],[Изпитани]])&lt;&gt;0,MAZZS[[#This Row],[Изпитващ]]=0)*1</f>
        <v>0</v>
      </c>
      <c r="F32" s="315">
        <f>IFERROR(VLOOKUP(MAZZS[[#This Row],[Език]],Коефициент_Eзик[],2,0),0)</f>
        <v>1</v>
      </c>
      <c r="G32" s="314">
        <f>IFERROR(IF(MAZZS[[#This Row],[Студенти]]&gt;=6,1,VLOOKUP(MAZZS[[#This Row],[Студенти]],RdukciaChasove[],2,0)),0)</f>
        <v>0</v>
      </c>
      <c r="H32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2" s="861">
        <f>IFERROR(VLOOKUP(MAZZS[[#This Row],[ФормаОб]],T_кТО[],2,0),0)</f>
        <v>0</v>
      </c>
      <c r="J32" s="872">
        <f>N(MAZZS[[#This Row],[ТО]])*0.5</f>
        <v>0</v>
      </c>
      <c r="K32" s="314">
        <f>N(MAZZS[[#This Row],[Изпитани]])*MAZZS[[#This Row],[кИзпитващ]]</f>
        <v>0</v>
      </c>
      <c r="L32" s="314">
        <f>N(MAZZS[[#This Row],[Лекции]])*MAZZS[[#This Row],[кЕзик]]*MAZZS[[#This Row],[кСтудент]]*кЛекции</f>
        <v>0</v>
      </c>
      <c r="M32" s="316">
        <f>N(MAZZS[[#This Row],[Упражнения]])*MAZZS[[#This Row],[кЕзик]]*MAZZS[[#This Row],[кСтудент]]*кУпражнение</f>
        <v>0</v>
      </c>
      <c r="N32" s="697"/>
      <c r="O32" s="697"/>
      <c r="P32" s="700"/>
      <c r="Q32" s="727"/>
      <c r="R32" s="700"/>
      <c r="S32" s="699"/>
      <c r="T32" s="325"/>
      <c r="U32" s="299"/>
      <c r="V32" s="300"/>
      <c r="W32" s="731" t="s">
        <v>84</v>
      </c>
      <c r="X32" s="700"/>
      <c r="Y32" s="700"/>
      <c r="Z32" s="306"/>
      <c r="AA32" s="299"/>
      <c r="AB32" s="300"/>
    </row>
    <row r="33" spans="2:28" s="47" customFormat="1" hidden="1" x14ac:dyDescent="0.3">
      <c r="B33" s="294">
        <f t="shared" si="0"/>
        <v>3</v>
      </c>
      <c r="C33" s="314">
        <f>IFERROR(AND(MAZZS[[#This Row],[Дисциплина]]&lt;&gt;0,MAZZS[[#This Row],[Вид]]&lt;&gt;"З",MAZZS[[#This Row],[Вид]]&lt;&gt;"И",MAZZS[[#This Row],[Вид]]&lt;&gt;"Ф")*1,0)</f>
        <v>0</v>
      </c>
      <c r="D33" s="314">
        <f>AND(MAZZS[[#This Row],[Дисциплина]]&lt;&gt;0,OR(N(MAZZS[[#This Row],[Лекции]])&lt;&gt;0,N(MAZZS[[#This Row],[Упражнения]])&lt;&gt;0),N(MAZZS[[#This Row],[Студенти]])=0)*1</f>
        <v>0</v>
      </c>
      <c r="E33" s="314">
        <f>AND(N(MAZZS[[#This Row],[Изпитани]])&lt;&gt;0,MAZZS[[#This Row],[Изпитващ]]=0)*1</f>
        <v>0</v>
      </c>
      <c r="F33" s="315">
        <f>IFERROR(VLOOKUP(MAZZS[[#This Row],[Език]],Коефициент_Eзик[],2,0),0)</f>
        <v>1</v>
      </c>
      <c r="G33" s="314">
        <f>IFERROR(IF(MAZZS[[#This Row],[Студенти]]&gt;=6,1,VLOOKUP(MAZZS[[#This Row],[Студенти]],RdukciaChasove[],2,0)),0)</f>
        <v>0</v>
      </c>
      <c r="H33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3" s="861">
        <f>IFERROR(VLOOKUP(MAZZS[[#This Row],[ФормаОб]],T_кТО[],2,0),0)</f>
        <v>0</v>
      </c>
      <c r="J33" s="872">
        <f>N(MAZZS[[#This Row],[ТО]])*0.5</f>
        <v>0</v>
      </c>
      <c r="K33" s="314">
        <f>N(MAZZS[[#This Row],[Изпитани]])*MAZZS[[#This Row],[кИзпитващ]]</f>
        <v>0</v>
      </c>
      <c r="L33" s="314">
        <f>N(MAZZS[[#This Row],[Лекции]])*MAZZS[[#This Row],[кЕзик]]*MAZZS[[#This Row],[кСтудент]]*кЛекции</f>
        <v>0</v>
      </c>
      <c r="M33" s="316">
        <f>N(MAZZS[[#This Row],[Упражнения]])*MAZZS[[#This Row],[кЕзик]]*MAZZS[[#This Row],[кСтудент]]*кУпражнение</f>
        <v>0</v>
      </c>
      <c r="N33" s="697"/>
      <c r="O33" s="697"/>
      <c r="P33" s="700"/>
      <c r="Q33" s="727"/>
      <c r="R33" s="700"/>
      <c r="S33" s="699"/>
      <c r="T33" s="325"/>
      <c r="U33" s="299"/>
      <c r="V33" s="300"/>
      <c r="W33" s="731" t="s">
        <v>84</v>
      </c>
      <c r="X33" s="700"/>
      <c r="Y33" s="700"/>
      <c r="Z33" s="306"/>
      <c r="AA33" s="299"/>
      <c r="AB33" s="300"/>
    </row>
    <row r="34" spans="2:28" s="47" customFormat="1" hidden="1" x14ac:dyDescent="0.3">
      <c r="B34" s="294">
        <f t="shared" si="0"/>
        <v>4</v>
      </c>
      <c r="C34" s="314">
        <f>IFERROR(AND(MAZZS[[#This Row],[Дисциплина]]&lt;&gt;0,MAZZS[[#This Row],[Вид]]&lt;&gt;"З",MAZZS[[#This Row],[Вид]]&lt;&gt;"И",MAZZS[[#This Row],[Вид]]&lt;&gt;"Ф")*1,0)</f>
        <v>0</v>
      </c>
      <c r="D34" s="314">
        <f>AND(MAZZS[[#This Row],[Дисциплина]]&lt;&gt;0,OR(N(MAZZS[[#This Row],[Лекции]])&lt;&gt;0,N(MAZZS[[#This Row],[Упражнения]])&lt;&gt;0),N(MAZZS[[#This Row],[Студенти]])=0)*1</f>
        <v>0</v>
      </c>
      <c r="E34" s="314">
        <f>AND(N(MAZZS[[#This Row],[Изпитани]])&lt;&gt;0,MAZZS[[#This Row],[Изпитващ]]=0)*1</f>
        <v>0</v>
      </c>
      <c r="F34" s="315">
        <f>IFERROR(VLOOKUP(MAZZS[[#This Row],[Език]],Коефициент_Eзик[],2,0),0)</f>
        <v>1</v>
      </c>
      <c r="G34" s="314">
        <f>IFERROR(IF(MAZZS[[#This Row],[Студенти]]&gt;=6,1,VLOOKUP(MAZZS[[#This Row],[Студенти]],RdukciaChasove[],2,0)),0)</f>
        <v>0</v>
      </c>
      <c r="H34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4" s="861">
        <f>IFERROR(VLOOKUP(MAZZS[[#This Row],[ФормаОб]],T_кТО[],2,0),0)</f>
        <v>0</v>
      </c>
      <c r="J34" s="872">
        <f>N(MAZZS[[#This Row],[ТО]])*0.5</f>
        <v>0</v>
      </c>
      <c r="K34" s="314">
        <f>N(MAZZS[[#This Row],[Изпитани]])*MAZZS[[#This Row],[кИзпитващ]]</f>
        <v>0</v>
      </c>
      <c r="L34" s="314">
        <f>N(MAZZS[[#This Row],[Лекции]])*MAZZS[[#This Row],[кЕзик]]*MAZZS[[#This Row],[кСтудент]]*кЛекции</f>
        <v>0</v>
      </c>
      <c r="M34" s="316">
        <f>N(MAZZS[[#This Row],[Упражнения]])*MAZZS[[#This Row],[кЕзик]]*MAZZS[[#This Row],[кСтудент]]*кУпражнение</f>
        <v>0</v>
      </c>
      <c r="N34" s="697"/>
      <c r="O34" s="697"/>
      <c r="P34" s="700"/>
      <c r="Q34" s="727"/>
      <c r="R34" s="700"/>
      <c r="S34" s="699"/>
      <c r="T34" s="325"/>
      <c r="U34" s="299"/>
      <c r="V34" s="300"/>
      <c r="W34" s="731" t="s">
        <v>84</v>
      </c>
      <c r="X34" s="700"/>
      <c r="Y34" s="700"/>
      <c r="Z34" s="306"/>
      <c r="AA34" s="299"/>
      <c r="AB34" s="300"/>
    </row>
    <row r="35" spans="2:28" s="47" customFormat="1" hidden="1" x14ac:dyDescent="0.3">
      <c r="B35" s="294">
        <f t="shared" si="0"/>
        <v>5</v>
      </c>
      <c r="C35" s="314">
        <f>IFERROR(AND(MAZZS[[#This Row],[Дисциплина]]&lt;&gt;0,MAZZS[[#This Row],[Вид]]&lt;&gt;"З",MAZZS[[#This Row],[Вид]]&lt;&gt;"И",MAZZS[[#This Row],[Вид]]&lt;&gt;"Ф")*1,0)</f>
        <v>0</v>
      </c>
      <c r="D35" s="314">
        <f>AND(MAZZS[[#This Row],[Дисциплина]]&lt;&gt;0,OR(N(MAZZS[[#This Row],[Лекции]])&lt;&gt;0,N(MAZZS[[#This Row],[Упражнения]])&lt;&gt;0),N(MAZZS[[#This Row],[Студенти]])=0)*1</f>
        <v>0</v>
      </c>
      <c r="E35" s="314">
        <f>AND(N(MAZZS[[#This Row],[Изпитани]])&lt;&gt;0,MAZZS[[#This Row],[Изпитващ]]=0)*1</f>
        <v>0</v>
      </c>
      <c r="F35" s="315">
        <f>IFERROR(VLOOKUP(MAZZS[[#This Row],[Език]],Коефициент_Eзик[],2,0),0)</f>
        <v>1</v>
      </c>
      <c r="G35" s="314">
        <f>IFERROR(IF(MAZZS[[#This Row],[Студенти]]&gt;=6,1,VLOOKUP(MAZZS[[#This Row],[Студенти]],RdukciaChasove[],2,0)),0)</f>
        <v>0</v>
      </c>
      <c r="H35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5" s="861">
        <f>IFERROR(VLOOKUP(MAZZS[[#This Row],[ФормаОб]],T_кТО[],2,0),0)</f>
        <v>0</v>
      </c>
      <c r="J35" s="872">
        <f>N(MAZZS[[#This Row],[ТО]])*0.5</f>
        <v>0</v>
      </c>
      <c r="K35" s="314">
        <f>N(MAZZS[[#This Row],[Изпитани]])*MAZZS[[#This Row],[кИзпитващ]]</f>
        <v>0</v>
      </c>
      <c r="L35" s="314">
        <f>N(MAZZS[[#This Row],[Лекции]])*MAZZS[[#This Row],[кЕзик]]*MAZZS[[#This Row],[кСтудент]]*кЛекции</f>
        <v>0</v>
      </c>
      <c r="M35" s="316">
        <f>N(MAZZS[[#This Row],[Упражнения]])*MAZZS[[#This Row],[кЕзик]]*MAZZS[[#This Row],[кСтудент]]*кУпражнение</f>
        <v>0</v>
      </c>
      <c r="N35" s="697"/>
      <c r="O35" s="697"/>
      <c r="P35" s="700"/>
      <c r="Q35" s="727"/>
      <c r="R35" s="700"/>
      <c r="S35" s="699"/>
      <c r="T35" s="325"/>
      <c r="U35" s="299"/>
      <c r="V35" s="300"/>
      <c r="W35" s="731" t="s">
        <v>84</v>
      </c>
      <c r="X35" s="700"/>
      <c r="Y35" s="700"/>
      <c r="Z35" s="306"/>
      <c r="AA35" s="299"/>
      <c r="AB35" s="300"/>
    </row>
    <row r="36" spans="2:28" s="47" customFormat="1" hidden="1" x14ac:dyDescent="0.3">
      <c r="B36" s="294">
        <f t="shared" si="0"/>
        <v>6</v>
      </c>
      <c r="C36" s="314">
        <f>IFERROR(AND(MAZZS[[#This Row],[Дисциплина]]&lt;&gt;0,MAZZS[[#This Row],[Вид]]&lt;&gt;"З",MAZZS[[#This Row],[Вид]]&lt;&gt;"И",MAZZS[[#This Row],[Вид]]&lt;&gt;"Ф")*1,0)</f>
        <v>0</v>
      </c>
      <c r="D36" s="314">
        <f>AND(MAZZS[[#This Row],[Дисциплина]]&lt;&gt;0,OR(N(MAZZS[[#This Row],[Лекции]])&lt;&gt;0,N(MAZZS[[#This Row],[Упражнения]])&lt;&gt;0),N(MAZZS[[#This Row],[Студенти]])=0)*1</f>
        <v>0</v>
      </c>
      <c r="E36" s="314">
        <f>AND(N(MAZZS[[#This Row],[Изпитани]])&lt;&gt;0,MAZZS[[#This Row],[Изпитващ]]=0)*1</f>
        <v>0</v>
      </c>
      <c r="F36" s="315">
        <f>IFERROR(VLOOKUP(MAZZS[[#This Row],[Език]],Коефициент_Eзик[],2,0),0)</f>
        <v>1</v>
      </c>
      <c r="G36" s="314">
        <f>IFERROR(IF(MAZZS[[#This Row],[Студенти]]&gt;=6,1,VLOOKUP(MAZZS[[#This Row],[Студенти]],RdukciaChasove[],2,0)),0)</f>
        <v>0</v>
      </c>
      <c r="H36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6" s="861">
        <f>IFERROR(VLOOKUP(MAZZS[[#This Row],[ФормаОб]],T_кТО[],2,0),0)</f>
        <v>0</v>
      </c>
      <c r="J36" s="872">
        <f>N(MAZZS[[#This Row],[ТО]])*0.5</f>
        <v>0</v>
      </c>
      <c r="K36" s="314">
        <f>N(MAZZS[[#This Row],[Изпитани]])*MAZZS[[#This Row],[кИзпитващ]]</f>
        <v>0</v>
      </c>
      <c r="L36" s="314">
        <f>N(MAZZS[[#This Row],[Лекции]])*MAZZS[[#This Row],[кЕзик]]*MAZZS[[#This Row],[кСтудент]]*кЛекции</f>
        <v>0</v>
      </c>
      <c r="M36" s="316">
        <f>N(MAZZS[[#This Row],[Упражнения]])*MAZZS[[#This Row],[кЕзик]]*MAZZS[[#This Row],[кСтудент]]*кУпражнение</f>
        <v>0</v>
      </c>
      <c r="N36" s="697"/>
      <c r="O36" s="697"/>
      <c r="P36" s="700"/>
      <c r="Q36" s="727"/>
      <c r="R36" s="700"/>
      <c r="S36" s="699"/>
      <c r="T36" s="325"/>
      <c r="U36" s="299"/>
      <c r="V36" s="300"/>
      <c r="W36" s="731" t="s">
        <v>84</v>
      </c>
      <c r="X36" s="700"/>
      <c r="Y36" s="700"/>
      <c r="Z36" s="306"/>
      <c r="AA36" s="299"/>
      <c r="AB36" s="300"/>
    </row>
    <row r="37" spans="2:28" s="47" customFormat="1" hidden="1" x14ac:dyDescent="0.3">
      <c r="B37" s="294">
        <f t="shared" si="0"/>
        <v>7</v>
      </c>
      <c r="C37" s="314">
        <f>IFERROR(AND(MAZZS[[#This Row],[Дисциплина]]&lt;&gt;0,MAZZS[[#This Row],[Вид]]&lt;&gt;"З",MAZZS[[#This Row],[Вид]]&lt;&gt;"И",MAZZS[[#This Row],[Вид]]&lt;&gt;"Ф")*1,0)</f>
        <v>0</v>
      </c>
      <c r="D37" s="314">
        <f>AND(MAZZS[[#This Row],[Дисциплина]]&lt;&gt;0,OR(N(MAZZS[[#This Row],[Лекции]])&lt;&gt;0,N(MAZZS[[#This Row],[Упражнения]])&lt;&gt;0),N(MAZZS[[#This Row],[Студенти]])=0)*1</f>
        <v>0</v>
      </c>
      <c r="E37" s="314">
        <f>AND(N(MAZZS[[#This Row],[Изпитани]])&lt;&gt;0,MAZZS[[#This Row],[Изпитващ]]=0)*1</f>
        <v>0</v>
      </c>
      <c r="F37" s="315">
        <f>IFERROR(VLOOKUP(MAZZS[[#This Row],[Език]],Коефициент_Eзик[],2,0),0)</f>
        <v>1</v>
      </c>
      <c r="G37" s="314">
        <f>IFERROR(IF(MAZZS[[#This Row],[Студенти]]&gt;=6,1,VLOOKUP(MAZZS[[#This Row],[Студенти]],RdukciaChasove[],2,0)),0)</f>
        <v>0</v>
      </c>
      <c r="H37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7" s="861">
        <f>IFERROR(VLOOKUP(MAZZS[[#This Row],[ФормаОб]],T_кТО[],2,0),0)</f>
        <v>0</v>
      </c>
      <c r="J37" s="872">
        <f>N(MAZZS[[#This Row],[ТО]])*0.5</f>
        <v>0</v>
      </c>
      <c r="K37" s="314">
        <f>N(MAZZS[[#This Row],[Изпитани]])*MAZZS[[#This Row],[кИзпитващ]]</f>
        <v>0</v>
      </c>
      <c r="L37" s="314">
        <f>N(MAZZS[[#This Row],[Лекции]])*MAZZS[[#This Row],[кЕзик]]*MAZZS[[#This Row],[кСтудент]]*кЛекции</f>
        <v>0</v>
      </c>
      <c r="M37" s="316">
        <f>N(MAZZS[[#This Row],[Упражнения]])*MAZZS[[#This Row],[кЕзик]]*MAZZS[[#This Row],[кСтудент]]*кУпражнение</f>
        <v>0</v>
      </c>
      <c r="N37" s="697"/>
      <c r="O37" s="697"/>
      <c r="P37" s="700"/>
      <c r="Q37" s="727"/>
      <c r="R37" s="700"/>
      <c r="S37" s="699"/>
      <c r="T37" s="325"/>
      <c r="U37" s="299"/>
      <c r="V37" s="300"/>
      <c r="W37" s="731" t="s">
        <v>84</v>
      </c>
      <c r="X37" s="700"/>
      <c r="Y37" s="700"/>
      <c r="Z37" s="306"/>
      <c r="AA37" s="299"/>
      <c r="AB37" s="300"/>
    </row>
    <row r="38" spans="2:28" s="47" customFormat="1" hidden="1" x14ac:dyDescent="0.3">
      <c r="B38" s="294">
        <f t="shared" si="0"/>
        <v>8</v>
      </c>
      <c r="C38" s="314">
        <f>IFERROR(AND(MAZZS[[#This Row],[Дисциплина]]&lt;&gt;0,MAZZS[[#This Row],[Вид]]&lt;&gt;"З",MAZZS[[#This Row],[Вид]]&lt;&gt;"И",MAZZS[[#This Row],[Вид]]&lt;&gt;"Ф")*1,0)</f>
        <v>0</v>
      </c>
      <c r="D38" s="314">
        <f>AND(MAZZS[[#This Row],[Дисциплина]]&lt;&gt;0,OR(N(MAZZS[[#This Row],[Лекции]])&lt;&gt;0,N(MAZZS[[#This Row],[Упражнения]])&lt;&gt;0),N(MAZZS[[#This Row],[Студенти]])=0)*1</f>
        <v>0</v>
      </c>
      <c r="E38" s="314">
        <f>AND(N(MAZZS[[#This Row],[Изпитани]])&lt;&gt;0,MAZZS[[#This Row],[Изпитващ]]=0)*1</f>
        <v>0</v>
      </c>
      <c r="F38" s="315">
        <f>IFERROR(VLOOKUP(MAZZS[[#This Row],[Език]],Коефициент_Eзик[],2,0),0)</f>
        <v>1</v>
      </c>
      <c r="G38" s="314">
        <f>IFERROR(IF(MAZZS[[#This Row],[Студенти]]&gt;=6,1,VLOOKUP(MAZZS[[#This Row],[Студенти]],RdukciaChasove[],2,0)),0)</f>
        <v>0</v>
      </c>
      <c r="H38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8" s="861">
        <f>IFERROR(VLOOKUP(MAZZS[[#This Row],[ФормаОб]],T_кТО[],2,0),0)</f>
        <v>0</v>
      </c>
      <c r="J38" s="872">
        <f>N(MAZZS[[#This Row],[ТО]])*0.5</f>
        <v>0</v>
      </c>
      <c r="K38" s="314">
        <f>N(MAZZS[[#This Row],[Изпитани]])*MAZZS[[#This Row],[кИзпитващ]]</f>
        <v>0</v>
      </c>
      <c r="L38" s="314">
        <f>N(MAZZS[[#This Row],[Лекции]])*MAZZS[[#This Row],[кЕзик]]*MAZZS[[#This Row],[кСтудент]]*кЛекции</f>
        <v>0</v>
      </c>
      <c r="M38" s="316">
        <f>N(MAZZS[[#This Row],[Упражнения]])*MAZZS[[#This Row],[кЕзик]]*MAZZS[[#This Row],[кСтудент]]*кУпражнение</f>
        <v>0</v>
      </c>
      <c r="N38" s="697"/>
      <c r="O38" s="697"/>
      <c r="P38" s="700"/>
      <c r="Q38" s="727"/>
      <c r="R38" s="700"/>
      <c r="S38" s="699"/>
      <c r="T38" s="325"/>
      <c r="U38" s="299"/>
      <c r="V38" s="300"/>
      <c r="W38" s="731" t="s">
        <v>84</v>
      </c>
      <c r="X38" s="700"/>
      <c r="Y38" s="700"/>
      <c r="Z38" s="306"/>
      <c r="AA38" s="299"/>
      <c r="AB38" s="300"/>
    </row>
    <row r="39" spans="2:28" s="47" customFormat="1" hidden="1" x14ac:dyDescent="0.3">
      <c r="B39" s="294">
        <f t="shared" si="0"/>
        <v>9</v>
      </c>
      <c r="C39" s="314">
        <f>IFERROR(AND(MAZZS[[#This Row],[Дисциплина]]&lt;&gt;0,MAZZS[[#This Row],[Вид]]&lt;&gt;"З",MAZZS[[#This Row],[Вид]]&lt;&gt;"И",MAZZS[[#This Row],[Вид]]&lt;&gt;"Ф")*1,0)</f>
        <v>0</v>
      </c>
      <c r="D39" s="314">
        <f>AND(MAZZS[[#This Row],[Дисциплина]]&lt;&gt;0,OR(N(MAZZS[[#This Row],[Лекции]])&lt;&gt;0,N(MAZZS[[#This Row],[Упражнения]])&lt;&gt;0),N(MAZZS[[#This Row],[Студенти]])=0)*1</f>
        <v>0</v>
      </c>
      <c r="E39" s="314">
        <f>AND(N(MAZZS[[#This Row],[Изпитани]])&lt;&gt;0,MAZZS[[#This Row],[Изпитващ]]=0)*1</f>
        <v>0</v>
      </c>
      <c r="F39" s="315">
        <f>IFERROR(VLOOKUP(MAZZS[[#This Row],[Език]],Коефициент_Eзик[],2,0),0)</f>
        <v>1</v>
      </c>
      <c r="G39" s="314">
        <f>IFERROR(IF(MAZZS[[#This Row],[Студенти]]&gt;=6,1,VLOOKUP(MAZZS[[#This Row],[Студенти]],RdukciaChasove[],2,0)),0)</f>
        <v>0</v>
      </c>
      <c r="H39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39" s="861">
        <f>IFERROR(VLOOKUP(MAZZS[[#This Row],[ФормаОб]],T_кТО[],2,0),0)</f>
        <v>0</v>
      </c>
      <c r="J39" s="872">
        <f>N(MAZZS[[#This Row],[ТО]])*0.5</f>
        <v>0</v>
      </c>
      <c r="K39" s="314">
        <f>N(MAZZS[[#This Row],[Изпитани]])*MAZZS[[#This Row],[кИзпитващ]]</f>
        <v>0</v>
      </c>
      <c r="L39" s="314">
        <f>N(MAZZS[[#This Row],[Лекции]])*MAZZS[[#This Row],[кЕзик]]*MAZZS[[#This Row],[кСтудент]]*кЛекции</f>
        <v>0</v>
      </c>
      <c r="M39" s="316">
        <f>N(MAZZS[[#This Row],[Упражнения]])*MAZZS[[#This Row],[кЕзик]]*MAZZS[[#This Row],[кСтудент]]*кУпражнение</f>
        <v>0</v>
      </c>
      <c r="N39" s="697"/>
      <c r="O39" s="697"/>
      <c r="P39" s="700"/>
      <c r="Q39" s="727"/>
      <c r="R39" s="700"/>
      <c r="S39" s="699"/>
      <c r="T39" s="325"/>
      <c r="U39" s="299"/>
      <c r="V39" s="300"/>
      <c r="W39" s="731" t="s">
        <v>84</v>
      </c>
      <c r="X39" s="700"/>
      <c r="Y39" s="700"/>
      <c r="Z39" s="306"/>
      <c r="AA39" s="299"/>
      <c r="AB39" s="300"/>
    </row>
    <row r="40" spans="2:28" s="47" customFormat="1" hidden="1" x14ac:dyDescent="0.3">
      <c r="B40" s="294">
        <f t="shared" si="0"/>
        <v>10</v>
      </c>
      <c r="C40" s="314">
        <f>IFERROR(AND(MAZZS[[#This Row],[Дисциплина]]&lt;&gt;0,MAZZS[[#This Row],[Вид]]&lt;&gt;"З",MAZZS[[#This Row],[Вид]]&lt;&gt;"И",MAZZS[[#This Row],[Вид]]&lt;&gt;"Ф")*1,0)</f>
        <v>0</v>
      </c>
      <c r="D40" s="314">
        <f>AND(MAZZS[[#This Row],[Дисциплина]]&lt;&gt;0,OR(N(MAZZS[[#This Row],[Лекции]])&lt;&gt;0,N(MAZZS[[#This Row],[Упражнения]])&lt;&gt;0),N(MAZZS[[#This Row],[Студенти]])=0)*1</f>
        <v>0</v>
      </c>
      <c r="E40" s="314">
        <f>AND(N(MAZZS[[#This Row],[Изпитани]])&lt;&gt;0,MAZZS[[#This Row],[Изпитващ]]=0)*1</f>
        <v>0</v>
      </c>
      <c r="F40" s="315">
        <f>IFERROR(VLOOKUP(MAZZS[[#This Row],[Език]],Коефициент_Eзик[],2,0),0)</f>
        <v>1</v>
      </c>
      <c r="G40" s="314">
        <f>IFERROR(IF(MAZZS[[#This Row],[Студенти]]&gt;=6,1,VLOOKUP(MAZZS[[#This Row],[Студенти]],RdukciaChasove[],2,0)),0)</f>
        <v>0</v>
      </c>
      <c r="H40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0" s="861">
        <f>IFERROR(VLOOKUP(MAZZS[[#This Row],[ФормаОб]],T_кТО[],2,0),0)</f>
        <v>0</v>
      </c>
      <c r="J40" s="872">
        <f>N(MAZZS[[#This Row],[ТО]])*0.5</f>
        <v>0</v>
      </c>
      <c r="K40" s="314">
        <f>N(MAZZS[[#This Row],[Изпитани]])*MAZZS[[#This Row],[кИзпитващ]]</f>
        <v>0</v>
      </c>
      <c r="L40" s="314">
        <f>N(MAZZS[[#This Row],[Лекции]])*MAZZS[[#This Row],[кЕзик]]*MAZZS[[#This Row],[кСтудент]]*кЛекции</f>
        <v>0</v>
      </c>
      <c r="M40" s="316">
        <f>N(MAZZS[[#This Row],[Упражнения]])*MAZZS[[#This Row],[кЕзик]]*MAZZS[[#This Row],[кСтудент]]*кУпражнение</f>
        <v>0</v>
      </c>
      <c r="N40" s="697"/>
      <c r="O40" s="697"/>
      <c r="P40" s="700"/>
      <c r="Q40" s="727"/>
      <c r="R40" s="700"/>
      <c r="S40" s="699"/>
      <c r="T40" s="325"/>
      <c r="U40" s="299"/>
      <c r="V40" s="300"/>
      <c r="W40" s="731" t="s">
        <v>84</v>
      </c>
      <c r="X40" s="700"/>
      <c r="Y40" s="700"/>
      <c r="Z40" s="306"/>
      <c r="AA40" s="299"/>
      <c r="AB40" s="300"/>
    </row>
    <row r="41" spans="2:28" s="47" customFormat="1" hidden="1" x14ac:dyDescent="0.3">
      <c r="B41" s="294">
        <f t="shared" si="0"/>
        <v>11</v>
      </c>
      <c r="C41" s="314">
        <f>IFERROR(AND(MAZZS[[#This Row],[Дисциплина]]&lt;&gt;0,MAZZS[[#This Row],[Вид]]&lt;&gt;"З",MAZZS[[#This Row],[Вид]]&lt;&gt;"И",MAZZS[[#This Row],[Вид]]&lt;&gt;"Ф")*1,0)</f>
        <v>0</v>
      </c>
      <c r="D41" s="314">
        <f>AND(MAZZS[[#This Row],[Дисциплина]]&lt;&gt;0,OR(N(MAZZS[[#This Row],[Лекции]])&lt;&gt;0,N(MAZZS[[#This Row],[Упражнения]])&lt;&gt;0),N(MAZZS[[#This Row],[Студенти]])=0)*1</f>
        <v>0</v>
      </c>
      <c r="E41" s="314">
        <f>AND(N(MAZZS[[#This Row],[Изпитани]])&lt;&gt;0,MAZZS[[#This Row],[Изпитващ]]=0)*1</f>
        <v>0</v>
      </c>
      <c r="F41" s="315">
        <f>IFERROR(VLOOKUP(MAZZS[[#This Row],[Език]],Коефициент_Eзик[],2,0),0)</f>
        <v>1</v>
      </c>
      <c r="G41" s="314">
        <f>IFERROR(IF(MAZZS[[#This Row],[Студенти]]&gt;=6,1,VLOOKUP(MAZZS[[#This Row],[Студенти]],RdukciaChasove[],2,0)),0)</f>
        <v>0</v>
      </c>
      <c r="H41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1" s="861">
        <f>IFERROR(VLOOKUP(MAZZS[[#This Row],[ФормаОб]],T_кТО[],2,0),0)</f>
        <v>0</v>
      </c>
      <c r="J41" s="872">
        <f>N(MAZZS[[#This Row],[ТО]])*0.5</f>
        <v>0</v>
      </c>
      <c r="K41" s="314">
        <f>N(MAZZS[[#This Row],[Изпитани]])*MAZZS[[#This Row],[кИзпитващ]]</f>
        <v>0</v>
      </c>
      <c r="L41" s="314">
        <f>N(MAZZS[[#This Row],[Лекции]])*MAZZS[[#This Row],[кЕзик]]*MAZZS[[#This Row],[кСтудент]]*кЛекции</f>
        <v>0</v>
      </c>
      <c r="M41" s="316">
        <f>N(MAZZS[[#This Row],[Упражнения]])*MAZZS[[#This Row],[кЕзик]]*MAZZS[[#This Row],[кСтудент]]*кУпражнение</f>
        <v>0</v>
      </c>
      <c r="N41" s="697"/>
      <c r="O41" s="697"/>
      <c r="P41" s="700"/>
      <c r="Q41" s="727"/>
      <c r="R41" s="700"/>
      <c r="S41" s="699"/>
      <c r="T41" s="325"/>
      <c r="U41" s="299"/>
      <c r="V41" s="300"/>
      <c r="W41" s="731" t="s">
        <v>84</v>
      </c>
      <c r="X41" s="700"/>
      <c r="Y41" s="700"/>
      <c r="Z41" s="306"/>
      <c r="AA41" s="299"/>
      <c r="AB41" s="300"/>
    </row>
    <row r="42" spans="2:28" s="47" customFormat="1" hidden="1" x14ac:dyDescent="0.3">
      <c r="B42" s="294">
        <f t="shared" si="0"/>
        <v>12</v>
      </c>
      <c r="C42" s="314">
        <f>IFERROR(AND(MAZZS[[#This Row],[Дисциплина]]&lt;&gt;0,MAZZS[[#This Row],[Вид]]&lt;&gt;"З",MAZZS[[#This Row],[Вид]]&lt;&gt;"И",MAZZS[[#This Row],[Вид]]&lt;&gt;"Ф")*1,0)</f>
        <v>0</v>
      </c>
      <c r="D42" s="314">
        <f>AND(MAZZS[[#This Row],[Дисциплина]]&lt;&gt;0,OR(N(MAZZS[[#This Row],[Лекции]])&lt;&gt;0,N(MAZZS[[#This Row],[Упражнения]])&lt;&gt;0),N(MAZZS[[#This Row],[Студенти]])=0)*1</f>
        <v>0</v>
      </c>
      <c r="E42" s="314">
        <f>AND(N(MAZZS[[#This Row],[Изпитани]])&lt;&gt;0,MAZZS[[#This Row],[Изпитващ]]=0)*1</f>
        <v>0</v>
      </c>
      <c r="F42" s="315">
        <f>IFERROR(VLOOKUP(MAZZS[[#This Row],[Език]],Коефициент_Eзик[],2,0),0)</f>
        <v>1</v>
      </c>
      <c r="G42" s="314">
        <f>IFERROR(IF(MAZZS[[#This Row],[Студенти]]&gt;=6,1,VLOOKUP(MAZZS[[#This Row],[Студенти]],RdukciaChasove[],2,0)),0)</f>
        <v>0</v>
      </c>
      <c r="H42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2" s="861">
        <f>IFERROR(VLOOKUP(MAZZS[[#This Row],[ФормаОб]],T_кТО[],2,0),0)</f>
        <v>0</v>
      </c>
      <c r="J42" s="872">
        <f>N(MAZZS[[#This Row],[ТО]])*0.5</f>
        <v>0</v>
      </c>
      <c r="K42" s="314">
        <f>N(MAZZS[[#This Row],[Изпитани]])*MAZZS[[#This Row],[кИзпитващ]]</f>
        <v>0</v>
      </c>
      <c r="L42" s="314">
        <f>N(MAZZS[[#This Row],[Лекции]])*MAZZS[[#This Row],[кЕзик]]*MAZZS[[#This Row],[кСтудент]]*кЛекции</f>
        <v>0</v>
      </c>
      <c r="M42" s="316">
        <f>N(MAZZS[[#This Row],[Упражнения]])*MAZZS[[#This Row],[кЕзик]]*MAZZS[[#This Row],[кСтудент]]*кУпражнение</f>
        <v>0</v>
      </c>
      <c r="N42" s="697"/>
      <c r="O42" s="697"/>
      <c r="P42" s="700"/>
      <c r="Q42" s="727"/>
      <c r="R42" s="700"/>
      <c r="S42" s="699"/>
      <c r="T42" s="325"/>
      <c r="U42" s="299"/>
      <c r="V42" s="300"/>
      <c r="W42" s="731" t="s">
        <v>84</v>
      </c>
      <c r="X42" s="700"/>
      <c r="Y42" s="700"/>
      <c r="Z42" s="306"/>
      <c r="AA42" s="299"/>
      <c r="AB42" s="300"/>
    </row>
    <row r="43" spans="2:28" s="47" customFormat="1" hidden="1" x14ac:dyDescent="0.3">
      <c r="B43" s="294">
        <f t="shared" si="0"/>
        <v>13</v>
      </c>
      <c r="C43" s="314">
        <f>IFERROR(AND(MAZZS[[#This Row],[Дисциплина]]&lt;&gt;0,MAZZS[[#This Row],[Вид]]&lt;&gt;"З",MAZZS[[#This Row],[Вид]]&lt;&gt;"И",MAZZS[[#This Row],[Вид]]&lt;&gt;"Ф")*1,0)</f>
        <v>0</v>
      </c>
      <c r="D43" s="314">
        <f>AND(MAZZS[[#This Row],[Дисциплина]]&lt;&gt;0,OR(N(MAZZS[[#This Row],[Лекции]])&lt;&gt;0,N(MAZZS[[#This Row],[Упражнения]])&lt;&gt;0),N(MAZZS[[#This Row],[Студенти]])=0)*1</f>
        <v>0</v>
      </c>
      <c r="E43" s="314">
        <f>AND(N(MAZZS[[#This Row],[Изпитани]])&lt;&gt;0,MAZZS[[#This Row],[Изпитващ]]=0)*1</f>
        <v>0</v>
      </c>
      <c r="F43" s="315">
        <f>IFERROR(VLOOKUP(MAZZS[[#This Row],[Език]],Коефициент_Eзик[],2,0),0)</f>
        <v>1</v>
      </c>
      <c r="G43" s="314">
        <f>IFERROR(IF(MAZZS[[#This Row],[Студенти]]&gt;=6,1,VLOOKUP(MAZZS[[#This Row],[Студенти]],RdukciaChasove[],2,0)),0)</f>
        <v>0</v>
      </c>
      <c r="H43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3" s="861">
        <f>IFERROR(VLOOKUP(MAZZS[[#This Row],[ФормаОб]],T_кТО[],2,0),0)</f>
        <v>0</v>
      </c>
      <c r="J43" s="872">
        <f>N(MAZZS[[#This Row],[ТО]])*0.5</f>
        <v>0</v>
      </c>
      <c r="K43" s="314">
        <f>N(MAZZS[[#This Row],[Изпитани]])*MAZZS[[#This Row],[кИзпитващ]]</f>
        <v>0</v>
      </c>
      <c r="L43" s="314">
        <f>N(MAZZS[[#This Row],[Лекции]])*MAZZS[[#This Row],[кЕзик]]*MAZZS[[#This Row],[кСтудент]]*кЛекции</f>
        <v>0</v>
      </c>
      <c r="M43" s="316">
        <f>N(MAZZS[[#This Row],[Упражнения]])*MAZZS[[#This Row],[кЕзик]]*MAZZS[[#This Row],[кСтудент]]*кУпражнение</f>
        <v>0</v>
      </c>
      <c r="N43" s="697"/>
      <c r="O43" s="697"/>
      <c r="P43" s="700"/>
      <c r="Q43" s="727"/>
      <c r="R43" s="700"/>
      <c r="S43" s="699"/>
      <c r="T43" s="325"/>
      <c r="U43" s="299"/>
      <c r="V43" s="300"/>
      <c r="W43" s="731" t="s">
        <v>84</v>
      </c>
      <c r="X43" s="700"/>
      <c r="Y43" s="700"/>
      <c r="Z43" s="306"/>
      <c r="AA43" s="299"/>
      <c r="AB43" s="300"/>
    </row>
    <row r="44" spans="2:28" s="47" customFormat="1" hidden="1" x14ac:dyDescent="0.3">
      <c r="B44" s="294">
        <f t="shared" si="0"/>
        <v>14</v>
      </c>
      <c r="C44" s="314">
        <f>IFERROR(AND(MAZZS[[#This Row],[Дисциплина]]&lt;&gt;0,MAZZS[[#This Row],[Вид]]&lt;&gt;"З",MAZZS[[#This Row],[Вид]]&lt;&gt;"И",MAZZS[[#This Row],[Вид]]&lt;&gt;"Ф")*1,0)</f>
        <v>0</v>
      </c>
      <c r="D44" s="314">
        <f>AND(MAZZS[[#This Row],[Дисциплина]]&lt;&gt;0,OR(N(MAZZS[[#This Row],[Лекции]])&lt;&gt;0,N(MAZZS[[#This Row],[Упражнения]])&lt;&gt;0),N(MAZZS[[#This Row],[Студенти]])=0)*1</f>
        <v>0</v>
      </c>
      <c r="E44" s="314">
        <f>AND(N(MAZZS[[#This Row],[Изпитани]])&lt;&gt;0,MAZZS[[#This Row],[Изпитващ]]=0)*1</f>
        <v>0</v>
      </c>
      <c r="F44" s="315">
        <f>IFERROR(VLOOKUP(MAZZS[[#This Row],[Език]],Коефициент_Eзик[],2,0),0)</f>
        <v>1</v>
      </c>
      <c r="G44" s="314">
        <f>IFERROR(IF(MAZZS[[#This Row],[Студенти]]&gt;=6,1,VLOOKUP(MAZZS[[#This Row],[Студенти]],RdukciaChasove[],2,0)),0)</f>
        <v>0</v>
      </c>
      <c r="H44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4" s="861">
        <f>IFERROR(VLOOKUP(MAZZS[[#This Row],[ФормаОб]],T_кТО[],2,0),0)</f>
        <v>0</v>
      </c>
      <c r="J44" s="872">
        <f>N(MAZZS[[#This Row],[ТО]])*0.5</f>
        <v>0</v>
      </c>
      <c r="K44" s="314">
        <f>N(MAZZS[[#This Row],[Изпитани]])*MAZZS[[#This Row],[кИзпитващ]]</f>
        <v>0</v>
      </c>
      <c r="L44" s="314">
        <f>N(MAZZS[[#This Row],[Лекции]])*MAZZS[[#This Row],[кЕзик]]*MAZZS[[#This Row],[кСтудент]]*кЛекции</f>
        <v>0</v>
      </c>
      <c r="M44" s="316">
        <f>N(MAZZS[[#This Row],[Упражнения]])*MAZZS[[#This Row],[кЕзик]]*MAZZS[[#This Row],[кСтудент]]*кУпражнение</f>
        <v>0</v>
      </c>
      <c r="N44" s="697"/>
      <c r="O44" s="697"/>
      <c r="P44" s="700"/>
      <c r="Q44" s="727"/>
      <c r="R44" s="700"/>
      <c r="S44" s="699"/>
      <c r="T44" s="325"/>
      <c r="U44" s="299"/>
      <c r="V44" s="300"/>
      <c r="W44" s="731" t="s">
        <v>84</v>
      </c>
      <c r="X44" s="700"/>
      <c r="Y44" s="700"/>
      <c r="Z44" s="306"/>
      <c r="AA44" s="299"/>
      <c r="AB44" s="300"/>
    </row>
    <row r="45" spans="2:28" s="47" customFormat="1" hidden="1" x14ac:dyDescent="0.3">
      <c r="B45" s="294">
        <f t="shared" si="0"/>
        <v>15</v>
      </c>
      <c r="C45" s="314">
        <f>IFERROR(AND(MAZZS[[#This Row],[Дисциплина]]&lt;&gt;0,MAZZS[[#This Row],[Вид]]&lt;&gt;"З",MAZZS[[#This Row],[Вид]]&lt;&gt;"И",MAZZS[[#This Row],[Вид]]&lt;&gt;"Ф")*1,0)</f>
        <v>0</v>
      </c>
      <c r="D45" s="314">
        <f>AND(MAZZS[[#This Row],[Дисциплина]]&lt;&gt;0,OR(N(MAZZS[[#This Row],[Лекции]])&lt;&gt;0,N(MAZZS[[#This Row],[Упражнения]])&lt;&gt;0),N(MAZZS[[#This Row],[Студенти]])=0)*1</f>
        <v>0</v>
      </c>
      <c r="E45" s="314">
        <f>AND(N(MAZZS[[#This Row],[Изпитани]])&lt;&gt;0,MAZZS[[#This Row],[Изпитващ]]=0)*1</f>
        <v>0</v>
      </c>
      <c r="F45" s="315">
        <f>IFERROR(VLOOKUP(MAZZS[[#This Row],[Език]],Коефициент_Eзик[],2,0),0)</f>
        <v>1</v>
      </c>
      <c r="G45" s="314">
        <f>IFERROR(IF(MAZZS[[#This Row],[Студенти]]&gt;=6,1,VLOOKUP(MAZZS[[#This Row],[Студенти]],RdukciaChasove[],2,0)),0)</f>
        <v>0</v>
      </c>
      <c r="H45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5" s="861">
        <f>IFERROR(VLOOKUP(MAZZS[[#This Row],[ФормаОб]],T_кТО[],2,0),0)</f>
        <v>0</v>
      </c>
      <c r="J45" s="872">
        <f>N(MAZZS[[#This Row],[ТО]])*0.5</f>
        <v>0</v>
      </c>
      <c r="K45" s="314">
        <f>N(MAZZS[[#This Row],[Изпитани]])*MAZZS[[#This Row],[кИзпитващ]]</f>
        <v>0</v>
      </c>
      <c r="L45" s="314">
        <f>N(MAZZS[[#This Row],[Лекции]])*MAZZS[[#This Row],[кЕзик]]*MAZZS[[#This Row],[кСтудент]]*кЛекции</f>
        <v>0</v>
      </c>
      <c r="M45" s="316">
        <f>N(MAZZS[[#This Row],[Упражнения]])*MAZZS[[#This Row],[кЕзик]]*MAZZS[[#This Row],[кСтудент]]*кУпражнение</f>
        <v>0</v>
      </c>
      <c r="N45" s="697"/>
      <c r="O45" s="697"/>
      <c r="P45" s="700"/>
      <c r="Q45" s="727"/>
      <c r="R45" s="700"/>
      <c r="S45" s="699"/>
      <c r="T45" s="325"/>
      <c r="U45" s="299"/>
      <c r="V45" s="300"/>
      <c r="W45" s="731" t="s">
        <v>84</v>
      </c>
      <c r="X45" s="700"/>
      <c r="Y45" s="700"/>
      <c r="Z45" s="306"/>
      <c r="AA45" s="299"/>
      <c r="AB45" s="300"/>
    </row>
    <row r="46" spans="2:28" s="47" customFormat="1" hidden="1" x14ac:dyDescent="0.3">
      <c r="B46" s="294">
        <f t="shared" si="0"/>
        <v>16</v>
      </c>
      <c r="C46" s="314">
        <f>IFERROR(AND(MAZZS[[#This Row],[Дисциплина]]&lt;&gt;0,MAZZS[[#This Row],[Вид]]&lt;&gt;"З",MAZZS[[#This Row],[Вид]]&lt;&gt;"И",MAZZS[[#This Row],[Вид]]&lt;&gt;"Ф")*1,0)</f>
        <v>0</v>
      </c>
      <c r="D46" s="314">
        <f>AND(MAZZS[[#This Row],[Дисциплина]]&lt;&gt;0,OR(N(MAZZS[[#This Row],[Лекции]])&lt;&gt;0,N(MAZZS[[#This Row],[Упражнения]])&lt;&gt;0),N(MAZZS[[#This Row],[Студенти]])=0)*1</f>
        <v>0</v>
      </c>
      <c r="E46" s="314">
        <f>AND(N(MAZZS[[#This Row],[Изпитани]])&lt;&gt;0,MAZZS[[#This Row],[Изпитващ]]=0)*1</f>
        <v>0</v>
      </c>
      <c r="F46" s="315">
        <f>IFERROR(VLOOKUP(MAZZS[[#This Row],[Език]],Коефициент_Eзик[],2,0),0)</f>
        <v>1</v>
      </c>
      <c r="G46" s="314">
        <f>IFERROR(IF(MAZZS[[#This Row],[Студенти]]&gt;=6,1,VLOOKUP(MAZZS[[#This Row],[Студенти]],RdukciaChasove[],2,0)),0)</f>
        <v>0</v>
      </c>
      <c r="H46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6" s="861">
        <f>IFERROR(VLOOKUP(MAZZS[[#This Row],[ФормаОб]],T_кТО[],2,0),0)</f>
        <v>0</v>
      </c>
      <c r="J46" s="872">
        <f>N(MAZZS[[#This Row],[ТО]])*0.5</f>
        <v>0</v>
      </c>
      <c r="K46" s="314">
        <f>N(MAZZS[[#This Row],[Изпитани]])*MAZZS[[#This Row],[кИзпитващ]]</f>
        <v>0</v>
      </c>
      <c r="L46" s="314">
        <f>N(MAZZS[[#This Row],[Лекции]])*MAZZS[[#This Row],[кЕзик]]*MAZZS[[#This Row],[кСтудент]]*кЛекции</f>
        <v>0</v>
      </c>
      <c r="M46" s="316">
        <f>N(MAZZS[[#This Row],[Упражнения]])*MAZZS[[#This Row],[кЕзик]]*MAZZS[[#This Row],[кСтудент]]*кУпражнение</f>
        <v>0</v>
      </c>
      <c r="N46" s="697"/>
      <c r="O46" s="697"/>
      <c r="P46" s="700"/>
      <c r="Q46" s="727"/>
      <c r="R46" s="700"/>
      <c r="S46" s="699"/>
      <c r="T46" s="325"/>
      <c r="U46" s="299"/>
      <c r="V46" s="300"/>
      <c r="W46" s="731" t="s">
        <v>84</v>
      </c>
      <c r="X46" s="700"/>
      <c r="Y46" s="700"/>
      <c r="Z46" s="306"/>
      <c r="AA46" s="299"/>
      <c r="AB46" s="300"/>
    </row>
    <row r="47" spans="2:28" s="47" customFormat="1" hidden="1" x14ac:dyDescent="0.3">
      <c r="B47" s="294">
        <f t="shared" si="0"/>
        <v>17</v>
      </c>
      <c r="C47" s="314">
        <f>IFERROR(AND(MAZZS[[#This Row],[Дисциплина]]&lt;&gt;0,MAZZS[[#This Row],[Вид]]&lt;&gt;"З",MAZZS[[#This Row],[Вид]]&lt;&gt;"И",MAZZS[[#This Row],[Вид]]&lt;&gt;"Ф")*1,0)</f>
        <v>0</v>
      </c>
      <c r="D47" s="314">
        <f>AND(MAZZS[[#This Row],[Дисциплина]]&lt;&gt;0,OR(N(MAZZS[[#This Row],[Лекции]])&lt;&gt;0,N(MAZZS[[#This Row],[Упражнения]])&lt;&gt;0),N(MAZZS[[#This Row],[Студенти]])=0)*1</f>
        <v>0</v>
      </c>
      <c r="E47" s="314">
        <f>AND(N(MAZZS[[#This Row],[Изпитани]])&lt;&gt;0,MAZZS[[#This Row],[Изпитващ]]=0)*1</f>
        <v>0</v>
      </c>
      <c r="F47" s="317">
        <f>IFERROR(VLOOKUP(MAZZS[[#This Row],[Език]],Коефициент_Eзик[],2,0),0)</f>
        <v>1</v>
      </c>
      <c r="G47" s="318">
        <f>IFERROR(IF(MAZZS[[#This Row],[Студенти]]&gt;=6,1,VLOOKUP(MAZZS[[#This Row],[Студенти]],RdukciaChasove[],2,0)),0)</f>
        <v>0</v>
      </c>
      <c r="H47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7" s="862">
        <f>IFERROR(VLOOKUP(MAZZS[[#This Row],[ФормаОб]],T_кТО[],2,0),0)</f>
        <v>0</v>
      </c>
      <c r="J47" s="873">
        <f>N(MAZZS[[#This Row],[ТО]])*0.5</f>
        <v>0</v>
      </c>
      <c r="K47" s="314">
        <f>N(MAZZS[[#This Row],[Изпитани]])*MAZZS[[#This Row],[кИзпитващ]]</f>
        <v>0</v>
      </c>
      <c r="L47" s="314">
        <f>N(MAZZS[[#This Row],[Лекции]])*MAZZS[[#This Row],[кЕзик]]*MAZZS[[#This Row],[кСтудент]]*кЛекции</f>
        <v>0</v>
      </c>
      <c r="M47" s="319">
        <f>N(MAZZS[[#This Row],[Упражнения]])*MAZZS[[#This Row],[кЕзик]]*MAZZS[[#This Row],[кСтудент]]*кУпражнение</f>
        <v>0</v>
      </c>
      <c r="N47" s="697"/>
      <c r="O47" s="697"/>
      <c r="P47" s="700"/>
      <c r="Q47" s="727"/>
      <c r="R47" s="700"/>
      <c r="S47" s="699"/>
      <c r="T47" s="325"/>
      <c r="U47" s="299"/>
      <c r="V47" s="300"/>
      <c r="W47" s="731" t="s">
        <v>84</v>
      </c>
      <c r="X47" s="700"/>
      <c r="Y47" s="700"/>
      <c r="Z47" s="306"/>
      <c r="AA47" s="299"/>
      <c r="AB47" s="300"/>
    </row>
    <row r="48" spans="2:28" s="47" customFormat="1" hidden="1" x14ac:dyDescent="0.3">
      <c r="B48" s="294">
        <f t="shared" si="0"/>
        <v>18</v>
      </c>
      <c r="C48" s="314">
        <f>IFERROR(AND(MAZZS[[#This Row],[Дисциплина]]&lt;&gt;0,MAZZS[[#This Row],[Вид]]&lt;&gt;"З",MAZZS[[#This Row],[Вид]]&lt;&gt;"И",MAZZS[[#This Row],[Вид]]&lt;&gt;"Ф")*1,0)</f>
        <v>0</v>
      </c>
      <c r="D48" s="314">
        <f>AND(MAZZS[[#This Row],[Дисциплина]]&lt;&gt;0,OR(N(MAZZS[[#This Row],[Лекции]])&lt;&gt;0,N(MAZZS[[#This Row],[Упражнения]])&lt;&gt;0),N(MAZZS[[#This Row],[Студенти]])=0)*1</f>
        <v>0</v>
      </c>
      <c r="E48" s="314">
        <f>AND(N(MAZZS[[#This Row],[Изпитани]])&lt;&gt;0,MAZZS[[#This Row],[Изпитващ]]=0)*1</f>
        <v>0</v>
      </c>
      <c r="F48" s="315">
        <f>IFERROR(VLOOKUP(MAZZS[[#This Row],[Език]],Коефициент_Eзик[],2,0),0)</f>
        <v>1</v>
      </c>
      <c r="G48" s="314">
        <f>IFERROR(IF(MAZZS[[#This Row],[Студенти]]&gt;=6,1,VLOOKUP(MAZZS[[#This Row],[Студенти]],RdukciaChasove[],2,0)),0)</f>
        <v>0</v>
      </c>
      <c r="H48" s="314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8" s="861">
        <f>IFERROR(VLOOKUP(MAZZS[[#This Row],[ФормаОб]],T_кТО[],2,0),0)</f>
        <v>0</v>
      </c>
      <c r="J48" s="872">
        <f>N(MAZZS[[#This Row],[ТО]])*0.5</f>
        <v>0</v>
      </c>
      <c r="K48" s="314">
        <f>N(MAZZS[[#This Row],[Изпитани]])*MAZZS[[#This Row],[кИзпитващ]]</f>
        <v>0</v>
      </c>
      <c r="L48" s="314">
        <f>N(MAZZS[[#This Row],[Лекции]])*MAZZS[[#This Row],[кЕзик]]*MAZZS[[#This Row],[кСтудент]]*кЛекции</f>
        <v>0</v>
      </c>
      <c r="M48" s="316">
        <f>N(MAZZS[[#This Row],[Упражнения]])*MAZZS[[#This Row],[кЕзик]]*MAZZS[[#This Row],[кСтудент]]*кУпражнение</f>
        <v>0</v>
      </c>
      <c r="N48" s="697"/>
      <c r="O48" s="697"/>
      <c r="P48" s="700"/>
      <c r="Q48" s="727"/>
      <c r="R48" s="700"/>
      <c r="S48" s="699"/>
      <c r="T48" s="325"/>
      <c r="U48" s="299"/>
      <c r="V48" s="300"/>
      <c r="W48" s="731" t="s">
        <v>84</v>
      </c>
      <c r="X48" s="700"/>
      <c r="Y48" s="700"/>
      <c r="Z48" s="306"/>
      <c r="AA48" s="299"/>
      <c r="AB48" s="300"/>
    </row>
    <row r="49" spans="2:31" s="47" customFormat="1" ht="17.25" hidden="1" thickBot="1" x14ac:dyDescent="0.35">
      <c r="B49" s="294">
        <f t="shared" si="0"/>
        <v>19</v>
      </c>
      <c r="C49" s="314">
        <f>IFERROR(AND(MAZZS[[#This Row],[Дисциплина]]&lt;&gt;0,MAZZS[[#This Row],[Вид]]&lt;&gt;"З",MAZZS[[#This Row],[Вид]]&lt;&gt;"И",MAZZS[[#This Row],[Вид]]&lt;&gt;"Ф")*1,0)</f>
        <v>0</v>
      </c>
      <c r="D49" s="314">
        <f>AND(MAZZS[[#This Row],[Дисциплина]]&lt;&gt;0,OR(N(MAZZS[[#This Row],[Лекции]])&lt;&gt;0,N(MAZZS[[#This Row],[Упражнения]])&lt;&gt;0),N(MAZZS[[#This Row],[Студенти]])=0)*1</f>
        <v>0</v>
      </c>
      <c r="E49" s="314">
        <f>AND(N(MAZZS[[#This Row],[Изпитани]])&lt;&gt;0,MAZZS[[#This Row],[Изпитващ]]=0)*1</f>
        <v>0</v>
      </c>
      <c r="F49" s="320">
        <f>IFERROR(VLOOKUP(MAZZS[[#This Row],[Език]],Коефициент_Eзик[],2,0),0)</f>
        <v>1</v>
      </c>
      <c r="G49" s="321">
        <f>IFERROR(IF(MAZZS[[#This Row],[Студенти]]&gt;=6,1,VLOOKUP(MAZZS[[#This Row],[Студенти]],RdukciaChasove[],2,0)),0)</f>
        <v>0</v>
      </c>
      <c r="H49" s="321">
        <f>IFERROR(IF(MAZZS[[#This Row],[Изпитващ]]=0,0,IF(AND('1. Планд'!$B$6=list!$A$11,MAZZS[[#This Row],[ФормаОц]]=list!$A$66),Coef!$B$8,VLOOKUP(MAZZS[[#This Row],[Изпитващ]],Koef.ocenqvane[],2,0))),0)</f>
        <v>0</v>
      </c>
      <c r="I49" s="863">
        <f>IFERROR(VLOOKUP(MAZZS[[#This Row],[ФормаОб]],T_кТО[],2,0),0)</f>
        <v>0</v>
      </c>
      <c r="J49" s="874">
        <f>N(MAZZS[[#This Row],[ТО]])*0.5</f>
        <v>0</v>
      </c>
      <c r="K49" s="321">
        <f>N(MAZZS[[#This Row],[Изпитани]])*MAZZS[[#This Row],[кИзпитващ]]</f>
        <v>0</v>
      </c>
      <c r="L49" s="321">
        <f>N(MAZZS[[#This Row],[Лекции]])*MAZZS[[#This Row],[кЕзик]]*MAZZS[[#This Row],[кСтудент]]*кЛекции</f>
        <v>0</v>
      </c>
      <c r="M49" s="322">
        <f>N(MAZZS[[#This Row],[Упражнения]])*MAZZS[[#This Row],[кЕзик]]*MAZZS[[#This Row],[кСтудент]]*кУпражнение</f>
        <v>0</v>
      </c>
      <c r="N49" s="697"/>
      <c r="O49" s="697"/>
      <c r="P49" s="700"/>
      <c r="Q49" s="728"/>
      <c r="R49" s="729"/>
      <c r="S49" s="730"/>
      <c r="T49" s="329"/>
      <c r="U49" s="327"/>
      <c r="V49" s="328"/>
      <c r="W49" s="731" t="s">
        <v>84</v>
      </c>
      <c r="X49" s="700"/>
      <c r="Y49" s="700"/>
      <c r="Z49" s="326"/>
      <c r="AA49" s="327"/>
      <c r="AB49" s="328"/>
    </row>
    <row r="50" spans="2:31" s="48" customFormat="1" ht="9.9499999999999993" hidden="1" customHeight="1" x14ac:dyDescent="0.3">
      <c r="B50" s="132" t="s">
        <v>417</v>
      </c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2:31" s="50" customFormat="1" ht="26.25" hidden="1" customHeight="1" x14ac:dyDescent="0.3">
      <c r="B51" s="216" t="s">
        <v>420</v>
      </c>
      <c r="M51" s="50" t="str">
        <f>IF(M25,2,"1.2")</f>
        <v>1.2</v>
      </c>
      <c r="N51" s="1623" t="str">
        <f>M51&amp;". ОКС ""магистър"" след придобита образователно-квалификационна степен на висшето образование – практики и курсови работи – ЗИМЕН семестър"</f>
        <v>1.2. ОКС "магистър" след придобита образователно-квалификационна степен на висшето образование – практики и курсови работи – ЗИМЕН семестър</v>
      </c>
      <c r="O51" s="1624"/>
      <c r="P51" s="1624"/>
      <c r="Q51" s="1624"/>
      <c r="R51" s="1624"/>
      <c r="S51" s="1624"/>
      <c r="T51" s="1624"/>
      <c r="U51" s="1624"/>
      <c r="V51" s="1624"/>
      <c r="W51" s="1624"/>
      <c r="X51" s="1624"/>
      <c r="Y51" s="1624"/>
      <c r="Z51" s="1624"/>
      <c r="AA51" s="1624"/>
      <c r="AB51" s="1625"/>
    </row>
    <row r="52" spans="2:31" ht="24" hidden="1" customHeight="1" thickBot="1" x14ac:dyDescent="0.4">
      <c r="B52" s="131" t="s">
        <v>477</v>
      </c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17"/>
      <c r="N52" s="1626" t="s">
        <v>802</v>
      </c>
      <c r="O52" s="1627"/>
      <c r="P52" s="1627"/>
      <c r="Q52" s="1627"/>
      <c r="R52" s="1627"/>
      <c r="S52" s="1627"/>
      <c r="T52" s="1627"/>
      <c r="U52" s="1627"/>
      <c r="V52" s="1627"/>
      <c r="W52" s="1627"/>
      <c r="X52" s="1627"/>
      <c r="Y52" s="1627"/>
      <c r="Z52" s="1627"/>
      <c r="AA52" s="1627"/>
      <c r="AB52" s="1628"/>
    </row>
    <row r="53" spans="2:31" s="50" customFormat="1" ht="20.25" hidden="1" customHeight="1" thickBot="1" x14ac:dyDescent="0.35">
      <c r="B53" s="131" t="s">
        <v>418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1685" t="s">
        <v>22</v>
      </c>
      <c r="O53" s="1550" t="s">
        <v>157</v>
      </c>
      <c r="P53" s="1555" t="s">
        <v>18</v>
      </c>
      <c r="Q53" s="1550" t="s">
        <v>19</v>
      </c>
      <c r="R53" s="1552" t="s">
        <v>20</v>
      </c>
      <c r="S53" s="1555" t="s">
        <v>569</v>
      </c>
      <c r="T53" s="1620" t="str">
        <f>T28</f>
        <v>Студенти
бр.</v>
      </c>
      <c r="U53" s="1615" t="s">
        <v>558</v>
      </c>
      <c r="V53" s="1590"/>
      <c r="W53" s="1616"/>
      <c r="X53" s="1557" t="s">
        <v>474</v>
      </c>
      <c r="Y53" s="1561" t="s">
        <v>312</v>
      </c>
      <c r="Z53" s="1550" t="s">
        <v>335</v>
      </c>
      <c r="AA53" s="1552"/>
      <c r="AB53" s="1555"/>
      <c r="AC53" s="41"/>
      <c r="AD53" s="41"/>
      <c r="AE53" s="41"/>
    </row>
    <row r="54" spans="2:31" s="50" customFormat="1" ht="26.25" hidden="1" thickBot="1" x14ac:dyDescent="0.35">
      <c r="B54" s="131" t="s">
        <v>419</v>
      </c>
      <c r="C54" s="41"/>
      <c r="D54" s="1544" t="s">
        <v>575</v>
      </c>
      <c r="E54" s="1611"/>
      <c r="F54" s="1545"/>
      <c r="G54" s="1544" t="s">
        <v>316</v>
      </c>
      <c r="H54" s="1545"/>
      <c r="I54" s="1544" t="s">
        <v>313</v>
      </c>
      <c r="J54" s="1545"/>
      <c r="K54" s="1618" t="s">
        <v>339</v>
      </c>
      <c r="L54" s="1618"/>
      <c r="M54" s="1619"/>
      <c r="N54" s="1686"/>
      <c r="O54" s="1687"/>
      <c r="P54" s="1556"/>
      <c r="Q54" s="1551"/>
      <c r="R54" s="1553"/>
      <c r="S54" s="1556"/>
      <c r="T54" s="1621"/>
      <c r="U54" s="476" t="s">
        <v>557</v>
      </c>
      <c r="V54" s="530" t="s">
        <v>792</v>
      </c>
      <c r="W54" s="478" t="s">
        <v>793</v>
      </c>
      <c r="X54" s="1622"/>
      <c r="Y54" s="1562"/>
      <c r="Z54" s="271" t="s">
        <v>330</v>
      </c>
      <c r="AA54" s="272" t="s">
        <v>331</v>
      </c>
      <c r="AB54" s="273" t="s">
        <v>394</v>
      </c>
      <c r="AC54" s="41"/>
      <c r="AD54" s="41"/>
      <c r="AE54" s="41"/>
    </row>
    <row r="55" spans="2:31" ht="21" hidden="1" customHeight="1" thickBot="1" x14ac:dyDescent="0.35">
      <c r="B55" s="131" t="s">
        <v>425</v>
      </c>
      <c r="D55" s="489" t="s">
        <v>585</v>
      </c>
      <c r="E55" s="145" t="s">
        <v>576</v>
      </c>
      <c r="F55" s="147" t="s">
        <v>626</v>
      </c>
      <c r="G55" s="149" t="s">
        <v>395</v>
      </c>
      <c r="H55" s="151" t="s">
        <v>338</v>
      </c>
      <c r="I55" s="149" t="s">
        <v>396</v>
      </c>
      <c r="J55" s="866" t="s">
        <v>336</v>
      </c>
      <c r="K55" s="469" t="s">
        <v>579</v>
      </c>
      <c r="L55" s="469" t="s">
        <v>392</v>
      </c>
      <c r="M55" s="875" t="s">
        <v>337</v>
      </c>
      <c r="N55" s="249" t="s">
        <v>22</v>
      </c>
      <c r="O55" s="162" t="s">
        <v>421</v>
      </c>
      <c r="P55" s="250" t="s">
        <v>18</v>
      </c>
      <c r="Q55" s="251" t="s">
        <v>19</v>
      </c>
      <c r="R55" s="252" t="s">
        <v>20</v>
      </c>
      <c r="S55" s="253" t="s">
        <v>630</v>
      </c>
      <c r="T55" s="444" t="s">
        <v>628</v>
      </c>
      <c r="U55" s="479" t="s">
        <v>578</v>
      </c>
      <c r="V55" s="480" t="s">
        <v>554</v>
      </c>
      <c r="W55" s="481" t="s">
        <v>571</v>
      </c>
      <c r="X55" s="162" t="s">
        <v>631</v>
      </c>
      <c r="Y55" s="254" t="s">
        <v>333</v>
      </c>
      <c r="Z55" s="255" t="s">
        <v>330</v>
      </c>
      <c r="AA55" s="163" t="s">
        <v>86</v>
      </c>
      <c r="AB55" s="254" t="s">
        <v>332</v>
      </c>
      <c r="AC55" s="45"/>
      <c r="AD55" s="45"/>
      <c r="AE55" s="45"/>
    </row>
    <row r="56" spans="2:31" hidden="1" x14ac:dyDescent="0.3">
      <c r="B56" s="294">
        <f>N(B55)+1</f>
        <v>1</v>
      </c>
      <c r="D56" s="466">
        <f>IFERROR(MATCH(MPZS[[#This Row],[ВидПрактика]],T_Практики[Практика и курсова работа],0),0)</f>
        <v>0</v>
      </c>
      <c r="E56" s="459" t="str">
        <f>IF(MPZS[[#This Row],[пВидПрактика]],INDEX(T_Практики[Група],MPZS[[#This Row],[пВидПрактика]]),"-")</f>
        <v>-</v>
      </c>
      <c r="F56" s="472" t="str">
        <f>IF(MPZS[[#This Row],[пВидПрактика]],INDEX(T_Практики[Ден],MPZS[[#This Row],[пВидПрактика]])*2,"-")</f>
        <v>-</v>
      </c>
      <c r="G56" s="466">
        <f>IFERROR(AND(MPZS[[#This Row],[ТО]]&lt;&gt;0,MPZS[[#This Row],[ФормаОб]]=0)*1,0)</f>
        <v>0</v>
      </c>
      <c r="H56" s="458">
        <f>IFERROR(AND(MPZS[[#This Row],[Изпитани]]&lt;&gt;0,MPZS[[#This Row],[Изпитващ]]=0)*1,0)</f>
        <v>0</v>
      </c>
      <c r="I56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56" s="864">
        <f t="shared" ref="J56:J65" si="1">кТО</f>
        <v>0.5</v>
      </c>
      <c r="K56" s="532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56" s="471">
        <f>N(MPZS[[#This Row],[Изпитани]])*MPZS[[#This Row],[кИзпитващ]]</f>
        <v>0</v>
      </c>
      <c r="M56" s="876">
        <f>N(MPZS[[#This Row],[ТО]])*MPZS[[#This Row],[кTO]]</f>
        <v>0</v>
      </c>
      <c r="N56" s="732"/>
      <c r="O56" s="733"/>
      <c r="P56" s="734"/>
      <c r="Q56" s="735"/>
      <c r="R56" s="736"/>
      <c r="S56" s="737"/>
      <c r="T56" s="445"/>
      <c r="U56" s="691"/>
      <c r="V56" s="486"/>
      <c r="W56" s="483"/>
      <c r="X56" s="744"/>
      <c r="Y56" s="745"/>
      <c r="Z56" s="346"/>
      <c r="AA56" s="347"/>
      <c r="AB56" s="348"/>
      <c r="AC56" s="45"/>
      <c r="AD56" s="45"/>
      <c r="AE56" s="45"/>
    </row>
    <row r="57" spans="2:31" hidden="1" x14ac:dyDescent="0.3">
      <c r="B57" s="294">
        <f t="shared" ref="B57:B65" si="2">N(B56)+1</f>
        <v>2</v>
      </c>
      <c r="D57" s="466">
        <f>IFERROR(MATCH(MPZS[[#This Row],[ВидПрактика]],T_Практики[Практика и курсова работа],0),0)</f>
        <v>0</v>
      </c>
      <c r="E57" s="459" t="str">
        <f>IF(MPZS[[#This Row],[пВидПрактика]],INDEX(T_Практики[Група],MPZS[[#This Row],[пВидПрактика]]),"-")</f>
        <v>-</v>
      </c>
      <c r="F57" s="462" t="str">
        <f>IF(MPZS[[#This Row],[пВидПрактика]],INDEX(T_Практики[Ден],MPZS[[#This Row],[пВидПрактика]])*2,"-")</f>
        <v>-</v>
      </c>
      <c r="G57" s="466">
        <f>IFERROR(AND(MPZS[[#This Row],[ТО]]&lt;&gt;0,MPZS[[#This Row],[ФормаОб]]=0)*1,0)</f>
        <v>0</v>
      </c>
      <c r="H57" s="458">
        <f>IFERROR(AND(MPZS[[#This Row],[Изпитани]]&lt;&gt;0,MPZS[[#This Row],[Изпитващ]]=0)*1,0)</f>
        <v>0</v>
      </c>
      <c r="I57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57" s="864">
        <f t="shared" si="1"/>
        <v>0.5</v>
      </c>
      <c r="K57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57" s="464">
        <f>N(MPZS[[#This Row],[Изпитани]])*MPZS[[#This Row],[кИзпитващ]]</f>
        <v>0</v>
      </c>
      <c r="M57" s="877">
        <f>N(MPZS[[#This Row],[ТО]])*MPZS[[#This Row],[кTO]]</f>
        <v>0</v>
      </c>
      <c r="N57" s="738"/>
      <c r="O57" s="739"/>
      <c r="P57" s="740"/>
      <c r="Q57" s="727"/>
      <c r="R57" s="700"/>
      <c r="S57" s="699"/>
      <c r="T57" s="446"/>
      <c r="U57" s="692"/>
      <c r="V57" s="487"/>
      <c r="W57" s="484"/>
      <c r="X57" s="746"/>
      <c r="Y57" s="747"/>
      <c r="Z57" s="349"/>
      <c r="AA57" s="350"/>
      <c r="AB57" s="351"/>
      <c r="AC57" s="45"/>
      <c r="AD57" s="45"/>
      <c r="AE57" s="45"/>
    </row>
    <row r="58" spans="2:31" hidden="1" x14ac:dyDescent="0.3">
      <c r="B58" s="294">
        <f t="shared" si="2"/>
        <v>3</v>
      </c>
      <c r="D58" s="466">
        <f>IFERROR(MATCH(MPZS[[#This Row],[ВидПрактика]],T_Практики[Практика и курсова работа],0),0)</f>
        <v>0</v>
      </c>
      <c r="E58" s="459" t="str">
        <f>IF(MPZS[[#This Row],[пВидПрактика]],INDEX(T_Практики[Група],MPZS[[#This Row],[пВидПрактика]]),"-")</f>
        <v>-</v>
      </c>
      <c r="F58" s="462" t="str">
        <f>IF(MPZS[[#This Row],[пВидПрактика]],INDEX(T_Практики[Ден],MPZS[[#This Row],[пВидПрактика]])*2,"-")</f>
        <v>-</v>
      </c>
      <c r="G58" s="466">
        <f>IFERROR(AND(MPZS[[#This Row],[ТО]]&lt;&gt;0,MPZS[[#This Row],[ФормаОб]]=0)*1,0)</f>
        <v>0</v>
      </c>
      <c r="H58" s="458">
        <f>IFERROR(AND(MPZS[[#This Row],[Изпитани]]&lt;&gt;0,MPZS[[#This Row],[Изпитващ]]=0)*1,0)</f>
        <v>0</v>
      </c>
      <c r="I58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58" s="864">
        <f t="shared" si="1"/>
        <v>0.5</v>
      </c>
      <c r="K58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58" s="464">
        <f>N(MPZS[[#This Row],[Изпитани]])*MPZS[[#This Row],[кИзпитващ]]</f>
        <v>0</v>
      </c>
      <c r="M58" s="877">
        <f>N(MPZS[[#This Row],[ТО]])*MPZS[[#This Row],[кTO]]</f>
        <v>0</v>
      </c>
      <c r="N58" s="738"/>
      <c r="O58" s="739"/>
      <c r="P58" s="740"/>
      <c r="Q58" s="727"/>
      <c r="R58" s="700"/>
      <c r="S58" s="699"/>
      <c r="T58" s="446"/>
      <c r="U58" s="692"/>
      <c r="V58" s="487"/>
      <c r="W58" s="484"/>
      <c r="X58" s="746"/>
      <c r="Y58" s="747"/>
      <c r="Z58" s="349"/>
      <c r="AA58" s="350"/>
      <c r="AB58" s="351"/>
      <c r="AC58" s="45"/>
      <c r="AD58" s="45"/>
      <c r="AE58" s="45"/>
    </row>
    <row r="59" spans="2:31" hidden="1" x14ac:dyDescent="0.3">
      <c r="B59" s="294">
        <f t="shared" si="2"/>
        <v>4</v>
      </c>
      <c r="D59" s="466">
        <f>IFERROR(MATCH(MPZS[[#This Row],[ВидПрактика]],T_Практики[Практика и курсова работа],0),0)</f>
        <v>0</v>
      </c>
      <c r="E59" s="459" t="str">
        <f>IF(MPZS[[#This Row],[пВидПрактика]],INDEX(T_Практики[Група],MPZS[[#This Row],[пВидПрактика]]),"-")</f>
        <v>-</v>
      </c>
      <c r="F59" s="462" t="str">
        <f>IF(MPZS[[#This Row],[пВидПрактика]],INDEX(T_Практики[Ден],MPZS[[#This Row],[пВидПрактика]])*2,"-")</f>
        <v>-</v>
      </c>
      <c r="G59" s="466">
        <f>IFERROR(AND(MPZS[[#This Row],[ТО]]&lt;&gt;0,MPZS[[#This Row],[ФормаОб]]=0)*1,0)</f>
        <v>0</v>
      </c>
      <c r="H59" s="458">
        <f>IFERROR(AND(MPZS[[#This Row],[Изпитани]]&lt;&gt;0,MPZS[[#This Row],[Изпитващ]]=0)*1,0)</f>
        <v>0</v>
      </c>
      <c r="I59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59" s="864">
        <f t="shared" si="1"/>
        <v>0.5</v>
      </c>
      <c r="K59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59" s="464">
        <f>N(MPZS[[#This Row],[Изпитани]])*MPZS[[#This Row],[кИзпитващ]]</f>
        <v>0</v>
      </c>
      <c r="M59" s="877">
        <f>N(MPZS[[#This Row],[ТО]])*MPZS[[#This Row],[кTO]]</f>
        <v>0</v>
      </c>
      <c r="N59" s="738"/>
      <c r="O59" s="739"/>
      <c r="P59" s="740"/>
      <c r="Q59" s="727"/>
      <c r="R59" s="700"/>
      <c r="S59" s="699"/>
      <c r="T59" s="446"/>
      <c r="U59" s="692"/>
      <c r="V59" s="487"/>
      <c r="W59" s="484"/>
      <c r="X59" s="746"/>
      <c r="Y59" s="747"/>
      <c r="Z59" s="349"/>
      <c r="AA59" s="350"/>
      <c r="AB59" s="351"/>
      <c r="AC59" s="45"/>
      <c r="AD59" s="45"/>
      <c r="AE59" s="45"/>
    </row>
    <row r="60" spans="2:31" s="50" customFormat="1" hidden="1" x14ac:dyDescent="0.3">
      <c r="B60" s="294">
        <f t="shared" si="2"/>
        <v>5</v>
      </c>
      <c r="D60" s="466">
        <f>IFERROR(MATCH(MPZS[[#This Row],[ВидПрактика]],T_Практики[Практика и курсова работа],0),0)</f>
        <v>0</v>
      </c>
      <c r="E60" s="459" t="str">
        <f>IF(MPZS[[#This Row],[пВидПрактика]],INDEX(T_Практики[Група],MPZS[[#This Row],[пВидПрактика]]),"-")</f>
        <v>-</v>
      </c>
      <c r="F60" s="462" t="str">
        <f>IF(MPZS[[#This Row],[пВидПрактика]],INDEX(T_Практики[Ден],MPZS[[#This Row],[пВидПрактика]])*2,"-")</f>
        <v>-</v>
      </c>
      <c r="G60" s="466">
        <f>IFERROR(AND(MPZS[[#This Row],[ТО]]&lt;&gt;0,MPZS[[#This Row],[ФормаОб]]=0)*1,0)</f>
        <v>0</v>
      </c>
      <c r="H60" s="458">
        <f>IFERROR(AND(MPZS[[#This Row],[Изпитани]]&lt;&gt;0,MPZS[[#This Row],[Изпитващ]]=0)*1,0)</f>
        <v>0</v>
      </c>
      <c r="I60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60" s="864">
        <f t="shared" si="1"/>
        <v>0.5</v>
      </c>
      <c r="K60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60" s="464">
        <f>N(MPZS[[#This Row],[Изпитани]])*MPZS[[#This Row],[кИзпитващ]]</f>
        <v>0</v>
      </c>
      <c r="M60" s="877">
        <f>N(MPZS[[#This Row],[ТО]])*MPZS[[#This Row],[кTO]]</f>
        <v>0</v>
      </c>
      <c r="N60" s="738"/>
      <c r="O60" s="739"/>
      <c r="P60" s="740"/>
      <c r="Q60" s="727"/>
      <c r="R60" s="700"/>
      <c r="S60" s="699"/>
      <c r="T60" s="447"/>
      <c r="U60" s="692"/>
      <c r="V60" s="487"/>
      <c r="W60" s="484"/>
      <c r="X60" s="746"/>
      <c r="Y60" s="747"/>
      <c r="Z60" s="349"/>
      <c r="AA60" s="350"/>
      <c r="AB60" s="351"/>
      <c r="AC60" s="48"/>
      <c r="AD60" s="48"/>
      <c r="AE60" s="48"/>
    </row>
    <row r="61" spans="2:31" s="50" customFormat="1" hidden="1" x14ac:dyDescent="0.3">
      <c r="B61" s="294">
        <f t="shared" si="2"/>
        <v>6</v>
      </c>
      <c r="D61" s="466">
        <f>IFERROR(MATCH(MPZS[[#This Row],[ВидПрактика]],T_Практики[Практика и курсова работа],0),0)</f>
        <v>0</v>
      </c>
      <c r="E61" s="459" t="str">
        <f>IF(MPZS[[#This Row],[пВидПрактика]],INDEX(T_Практики[Група],MPZS[[#This Row],[пВидПрактика]]),"-")</f>
        <v>-</v>
      </c>
      <c r="F61" s="462" t="str">
        <f>IF(MPZS[[#This Row],[пВидПрактика]],INDEX(T_Практики[Ден],MPZS[[#This Row],[пВидПрактика]])*2,"-")</f>
        <v>-</v>
      </c>
      <c r="G61" s="466">
        <f>IFERROR(AND(MPZS[[#This Row],[ТО]]&lt;&gt;0,MPZS[[#This Row],[ФормаОб]]=0)*1,0)</f>
        <v>0</v>
      </c>
      <c r="H61" s="458">
        <f>IFERROR(AND(MPZS[[#This Row],[Изпитани]]&lt;&gt;0,MPZS[[#This Row],[Изпитващ]]=0)*1,0)</f>
        <v>0</v>
      </c>
      <c r="I61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61" s="864">
        <f t="shared" si="1"/>
        <v>0.5</v>
      </c>
      <c r="K61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61" s="464">
        <f>N(MPZS[[#This Row],[Изпитани]])*MPZS[[#This Row],[кИзпитващ]]</f>
        <v>0</v>
      </c>
      <c r="M61" s="877">
        <f>N(MPZS[[#This Row],[ТО]])*MPZS[[#This Row],[кTO]]</f>
        <v>0</v>
      </c>
      <c r="N61" s="738"/>
      <c r="O61" s="739"/>
      <c r="P61" s="740"/>
      <c r="Q61" s="727"/>
      <c r="R61" s="700"/>
      <c r="S61" s="699"/>
      <c r="T61" s="447"/>
      <c r="U61" s="692"/>
      <c r="V61" s="487"/>
      <c r="W61" s="484"/>
      <c r="X61" s="746"/>
      <c r="Y61" s="747"/>
      <c r="Z61" s="349"/>
      <c r="AA61" s="350"/>
      <c r="AB61" s="351"/>
      <c r="AC61" s="48"/>
      <c r="AD61" s="48"/>
      <c r="AE61" s="48"/>
    </row>
    <row r="62" spans="2:31" s="50" customFormat="1" hidden="1" x14ac:dyDescent="0.3">
      <c r="B62" s="294">
        <f t="shared" si="2"/>
        <v>7</v>
      </c>
      <c r="D62" s="466">
        <f>IFERROR(MATCH(MPZS[[#This Row],[ВидПрактика]],T_Практики[Практика и курсова работа],0),0)</f>
        <v>0</v>
      </c>
      <c r="E62" s="459" t="str">
        <f>IF(MPZS[[#This Row],[пВидПрактика]],INDEX(T_Практики[Група],MPZS[[#This Row],[пВидПрактика]]),"-")</f>
        <v>-</v>
      </c>
      <c r="F62" s="462" t="str">
        <f>IF(MPZS[[#This Row],[пВидПрактика]],INDEX(T_Практики[Ден],MPZS[[#This Row],[пВидПрактика]])*2,"-")</f>
        <v>-</v>
      </c>
      <c r="G62" s="466">
        <f>IFERROR(AND(MPZS[[#This Row],[ТО]]&lt;&gt;0,MPZS[[#This Row],[ФормаОб]]=0)*1,0)</f>
        <v>0</v>
      </c>
      <c r="H62" s="458">
        <f>IFERROR(AND(MPZS[[#This Row],[Изпитани]]&lt;&gt;0,MPZS[[#This Row],[Изпитващ]]=0)*1,0)</f>
        <v>0</v>
      </c>
      <c r="I62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62" s="864">
        <f t="shared" si="1"/>
        <v>0.5</v>
      </c>
      <c r="K62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62" s="464">
        <f>N(MPZS[[#This Row],[Изпитани]])*MPZS[[#This Row],[кИзпитващ]]</f>
        <v>0</v>
      </c>
      <c r="M62" s="877">
        <f>N(MPZS[[#This Row],[ТО]])*MPZS[[#This Row],[кTO]]</f>
        <v>0</v>
      </c>
      <c r="N62" s="738"/>
      <c r="O62" s="739"/>
      <c r="P62" s="740"/>
      <c r="Q62" s="727"/>
      <c r="R62" s="700"/>
      <c r="S62" s="699"/>
      <c r="T62" s="447"/>
      <c r="U62" s="692"/>
      <c r="V62" s="487"/>
      <c r="W62" s="484"/>
      <c r="X62" s="746"/>
      <c r="Y62" s="747"/>
      <c r="Z62" s="349"/>
      <c r="AA62" s="350"/>
      <c r="AB62" s="351"/>
      <c r="AC62" s="48"/>
      <c r="AD62" s="48"/>
      <c r="AE62" s="48"/>
    </row>
    <row r="63" spans="2:31" s="50" customFormat="1" hidden="1" x14ac:dyDescent="0.3">
      <c r="B63" s="294">
        <f t="shared" si="2"/>
        <v>8</v>
      </c>
      <c r="D63" s="466">
        <f>IFERROR(MATCH(MPZS[[#This Row],[ВидПрактика]],T_Практики[Практика и курсова работа],0),0)</f>
        <v>0</v>
      </c>
      <c r="E63" s="459" t="str">
        <f>IF(MPZS[[#This Row],[пВидПрактика]],INDEX(T_Практики[Група],MPZS[[#This Row],[пВидПрактика]]),"-")</f>
        <v>-</v>
      </c>
      <c r="F63" s="462" t="str">
        <f>IF(MPZS[[#This Row],[пВидПрактика]],INDEX(T_Практики[Ден],MPZS[[#This Row],[пВидПрактика]])*2,"-")</f>
        <v>-</v>
      </c>
      <c r="G63" s="466">
        <f>IFERROR(AND(MPZS[[#This Row],[ТО]]&lt;&gt;0,MPZS[[#This Row],[ФормаОб]]=0)*1,0)</f>
        <v>0</v>
      </c>
      <c r="H63" s="458">
        <f>IFERROR(AND(MPZS[[#This Row],[Изпитани]]&lt;&gt;0,MPZS[[#This Row],[Изпитващ]]=0)*1,0)</f>
        <v>0</v>
      </c>
      <c r="I63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63" s="864">
        <f t="shared" si="1"/>
        <v>0.5</v>
      </c>
      <c r="K63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63" s="464">
        <f>N(MPZS[[#This Row],[Изпитани]])*MPZS[[#This Row],[кИзпитващ]]</f>
        <v>0</v>
      </c>
      <c r="M63" s="877">
        <f>N(MPZS[[#This Row],[ТО]])*MPZS[[#This Row],[кTO]]</f>
        <v>0</v>
      </c>
      <c r="N63" s="738"/>
      <c r="O63" s="739"/>
      <c r="P63" s="740"/>
      <c r="Q63" s="727"/>
      <c r="R63" s="700"/>
      <c r="S63" s="699"/>
      <c r="T63" s="447"/>
      <c r="U63" s="692"/>
      <c r="V63" s="487"/>
      <c r="W63" s="484"/>
      <c r="X63" s="746"/>
      <c r="Y63" s="747"/>
      <c r="Z63" s="349"/>
      <c r="AA63" s="350"/>
      <c r="AB63" s="351"/>
      <c r="AC63" s="48"/>
      <c r="AD63" s="48"/>
      <c r="AE63" s="48"/>
    </row>
    <row r="64" spans="2:31" s="50" customFormat="1" hidden="1" x14ac:dyDescent="0.3">
      <c r="B64" s="294">
        <f t="shared" si="2"/>
        <v>9</v>
      </c>
      <c r="D64" s="466">
        <f>IFERROR(MATCH(MPZS[[#This Row],[ВидПрактика]],T_Практики[Практика и курсова работа],0),0)</f>
        <v>0</v>
      </c>
      <c r="E64" s="459" t="str">
        <f>IF(MPZS[[#This Row],[пВидПрактика]],INDEX(T_Практики[Група],MPZS[[#This Row],[пВидПрактика]]),"-")</f>
        <v>-</v>
      </c>
      <c r="F64" s="462" t="str">
        <f>IF(MPZS[[#This Row],[пВидПрактика]],INDEX(T_Практики[Ден],MPZS[[#This Row],[пВидПрактика]])*2,"-")</f>
        <v>-</v>
      </c>
      <c r="G64" s="466">
        <f>IFERROR(AND(MPZS[[#This Row],[ТО]]&lt;&gt;0,MPZS[[#This Row],[ФормаОб]]=0)*1,0)</f>
        <v>0</v>
      </c>
      <c r="H64" s="458">
        <f>IFERROR(AND(MPZS[[#This Row],[Изпитани]]&lt;&gt;0,MPZS[[#This Row],[Изпитващ]]=0)*1,0)</f>
        <v>0</v>
      </c>
      <c r="I64" s="473">
        <f>IFERROR(IF(MPZS[[#This Row],[Изпитващ]]=0,0,IF(AND('1. Планд'!$B$6=list!$A$11,MPZS[[#This Row],[ФормаОц]]=list!$A$66),Coef!$B$8,VLOOKUP(MPZS[[#This Row],[Изпитващ]],Koef.ocenqvane[],2,0))),0)</f>
        <v>0</v>
      </c>
      <c r="J64" s="864">
        <f t="shared" si="1"/>
        <v>0.5</v>
      </c>
      <c r="K64" s="533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64" s="464">
        <f>N(MPZS[[#This Row],[Изпитани]])*MPZS[[#This Row],[кИзпитващ]]</f>
        <v>0</v>
      </c>
      <c r="M64" s="877">
        <f>N(MPZS[[#This Row],[ТО]])*MPZS[[#This Row],[кTO]]</f>
        <v>0</v>
      </c>
      <c r="N64" s="738"/>
      <c r="O64" s="739"/>
      <c r="P64" s="740"/>
      <c r="Q64" s="727"/>
      <c r="R64" s="700"/>
      <c r="S64" s="699"/>
      <c r="T64" s="447"/>
      <c r="U64" s="692"/>
      <c r="V64" s="487"/>
      <c r="W64" s="484"/>
      <c r="X64" s="746"/>
      <c r="Y64" s="747"/>
      <c r="Z64" s="349"/>
      <c r="AA64" s="350"/>
      <c r="AB64" s="351"/>
      <c r="AC64" s="48"/>
      <c r="AD64" s="48"/>
      <c r="AE64" s="48"/>
    </row>
    <row r="65" spans="2:31" s="50" customFormat="1" ht="17.25" hidden="1" thickBot="1" x14ac:dyDescent="0.35">
      <c r="B65" s="294">
        <f t="shared" si="2"/>
        <v>10</v>
      </c>
      <c r="D65" s="475">
        <f>IFERROR(MATCH(MPZS[[#This Row],[ВидПрактика]],T_Практики[Практика и курсова работа],0),0)</f>
        <v>0</v>
      </c>
      <c r="E65" s="467" t="str">
        <f>IF(MPZS[[#This Row],[пВидПрактика]],INDEX(T_Практики[Група],MPZS[[#This Row],[пВидПрактика]]),"-")</f>
        <v>-</v>
      </c>
      <c r="F65" s="463" t="str">
        <f>IF(MPZS[[#This Row],[пВидПрактика]],INDEX(T_Практики[Ден],MPZS[[#This Row],[пВидПрактика]])*2,"-")</f>
        <v>-</v>
      </c>
      <c r="G65" s="475">
        <f>IFERROR(AND(MPZS[[#This Row],[ТО]]&lt;&gt;0,MPZS[[#This Row],[ФормаОб]]=0)*1,0)</f>
        <v>0</v>
      </c>
      <c r="H65" s="468">
        <f>IFERROR(AND(MPZS[[#This Row],[Изпитани]]&lt;&gt;0,MPZS[[#This Row],[Изпитващ]]=0)*1,0)</f>
        <v>0</v>
      </c>
      <c r="I65" s="474">
        <f>IFERROR(IF(MPZS[[#This Row],[Изпитващ]]=0,0,IF(AND('1. Планд'!$B$6=list!$A$11,MPZS[[#This Row],[ФормаОц]]=list!$A$66),Coef!$B$8,VLOOKUP(MPZS[[#This Row],[Изпитващ]],Koef.ocenqvane[],2,0))),0)</f>
        <v>0</v>
      </c>
      <c r="J65" s="865">
        <f t="shared" si="1"/>
        <v>0.5</v>
      </c>
      <c r="K65" s="534">
        <f>IFERROR(IF(MPZS[[#This Row],[пВидПрактика]]&gt;0,INDEX(T_Практики[Час],MPZS[[#This Row],[пВидПрактика]])*CHOOSE(MPZS[[#This Row],[уфГрупа]]+MPZS[[#This Row],[уфДен]]+1,0,N(MPZS[[#This Row],[Група]]),N(MPZS[[#This Row],[Ден]]),N(MPZS[[#This Row],[Група]])*N(MPZS[[#This Row],[Ден]])),0),0)</f>
        <v>0</v>
      </c>
      <c r="L65" s="465">
        <f>N(MPZS[[#This Row],[Изпитани]])*MPZS[[#This Row],[кИзпитващ]]</f>
        <v>0</v>
      </c>
      <c r="M65" s="878">
        <f>N(MPZS[[#This Row],[ТО]])*MPZS[[#This Row],[кTO]]</f>
        <v>0</v>
      </c>
      <c r="N65" s="741"/>
      <c r="O65" s="742"/>
      <c r="P65" s="743"/>
      <c r="Q65" s="728"/>
      <c r="R65" s="729"/>
      <c r="S65" s="730"/>
      <c r="T65" s="448"/>
      <c r="U65" s="693"/>
      <c r="V65" s="488"/>
      <c r="W65" s="485"/>
      <c r="X65" s="748"/>
      <c r="Y65" s="749"/>
      <c r="Z65" s="352"/>
      <c r="AA65" s="353"/>
      <c r="AB65" s="354"/>
      <c r="AC65" s="48"/>
      <c r="AD65" s="48"/>
      <c r="AE65" s="48"/>
    </row>
    <row r="66" spans="2:31" s="50" customFormat="1" ht="9.9499999999999993" hidden="1" customHeight="1" x14ac:dyDescent="0.3">
      <c r="B66" s="132" t="s">
        <v>417</v>
      </c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 s="48"/>
      <c r="AA66" s="48"/>
      <c r="AB66" s="48"/>
    </row>
    <row r="67" spans="2:31" ht="27.75" hidden="1" thickBot="1" x14ac:dyDescent="0.35">
      <c r="B67" s="130" t="s">
        <v>420</v>
      </c>
      <c r="M67" s="41" t="str">
        <f>IF(M25,3,"1.3")</f>
        <v>1.3</v>
      </c>
      <c r="N67" s="1636" t="str">
        <f>M67&amp;". ОКС ""магистър"" след придобита ОКС – дипломиране – ЗИМЕН семестър"</f>
        <v>1.3. ОКС "магистър" след придобита ОКС – дипломиране – ЗИМЕН семестър</v>
      </c>
      <c r="O67" s="1636"/>
      <c r="P67" s="1636"/>
      <c r="Q67" s="1636"/>
      <c r="R67" s="1636"/>
      <c r="S67" s="45"/>
      <c r="T67" s="45"/>
      <c r="U67" s="45"/>
      <c r="V67" s="45"/>
      <c r="W67" s="45"/>
      <c r="X67" s="45"/>
      <c r="Y67" s="45"/>
      <c r="Z67" s="45"/>
      <c r="AA67" s="45"/>
      <c r="AB67" s="45"/>
    </row>
    <row r="68" spans="2:31" s="48" customFormat="1" ht="20.25" hidden="1" x14ac:dyDescent="0.3">
      <c r="B68" s="131" t="s">
        <v>418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1680" t="s">
        <v>17</v>
      </c>
      <c r="O68" s="1683" t="s">
        <v>18</v>
      </c>
      <c r="P68" s="1688" t="s">
        <v>335</v>
      </c>
      <c r="Q68" s="1689"/>
      <c r="R68" s="1690"/>
      <c r="S68" s="41"/>
      <c r="T68" s="41"/>
      <c r="U68" s="41"/>
      <c r="V68" s="41"/>
      <c r="W68" s="41"/>
      <c r="X68" s="41"/>
      <c r="Y68" s="41"/>
      <c r="Z68" s="41"/>
      <c r="AA68" s="41"/>
      <c r="AB68" s="41"/>
    </row>
    <row r="69" spans="2:31" s="48" customFormat="1" ht="28.5" hidden="1" customHeight="1" x14ac:dyDescent="0.3">
      <c r="B69" s="131" t="s">
        <v>419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1682"/>
      <c r="O69" s="1684"/>
      <c r="P69" s="138" t="s">
        <v>397</v>
      </c>
      <c r="Q69" s="133" t="s">
        <v>398</v>
      </c>
      <c r="R69" s="139" t="s">
        <v>399</v>
      </c>
      <c r="S69" s="41"/>
      <c r="T69" s="41"/>
      <c r="U69" s="41"/>
      <c r="V69" s="41"/>
      <c r="W69" s="41"/>
      <c r="X69" s="41"/>
      <c r="Y69" s="41"/>
      <c r="Z69" s="41"/>
      <c r="AA69" s="41"/>
      <c r="AB69" s="41"/>
    </row>
    <row r="70" spans="2:31" ht="20.25" hidden="1" x14ac:dyDescent="0.3">
      <c r="B70" s="131" t="s">
        <v>425</v>
      </c>
      <c r="N70" s="164" t="s">
        <v>17</v>
      </c>
      <c r="O70" s="164" t="s">
        <v>18</v>
      </c>
      <c r="P70" s="550" t="s">
        <v>362</v>
      </c>
      <c r="Q70" s="551" t="s">
        <v>398</v>
      </c>
      <c r="R70" s="552" t="s">
        <v>629</v>
      </c>
      <c r="S70" s="45"/>
      <c r="T70" s="45"/>
      <c r="U70" s="45"/>
      <c r="V70" s="45"/>
      <c r="W70" s="45"/>
      <c r="X70" s="45"/>
      <c r="Y70" s="45"/>
      <c r="Z70" s="45"/>
      <c r="AA70" s="45"/>
      <c r="AB70" s="45"/>
    </row>
    <row r="71" spans="2:31" s="50" customFormat="1" hidden="1" x14ac:dyDescent="0.3">
      <c r="B71" s="294">
        <f>N(B70)+1</f>
        <v>1</v>
      </c>
      <c r="N71" s="750"/>
      <c r="O71" s="750"/>
      <c r="P71" s="343"/>
      <c r="Q71" s="344"/>
      <c r="R71" s="345"/>
      <c r="S71" s="48"/>
      <c r="T71" s="48"/>
      <c r="U71" s="48"/>
      <c r="V71" s="48"/>
      <c r="W71" s="48"/>
      <c r="X71" s="48"/>
      <c r="Y71" s="48"/>
      <c r="Z71" s="48"/>
      <c r="AA71" s="48"/>
      <c r="AB71" s="48"/>
    </row>
    <row r="72" spans="2:31" s="50" customFormat="1" hidden="1" x14ac:dyDescent="0.3">
      <c r="B72" s="294">
        <f>N(B71)+1</f>
        <v>2</v>
      </c>
      <c r="N72" s="750"/>
      <c r="O72" s="750"/>
      <c r="P72" s="343"/>
      <c r="Q72" s="344"/>
      <c r="R72" s="345"/>
      <c r="S72" s="48"/>
      <c r="T72" s="48"/>
      <c r="U72" s="48"/>
      <c r="V72" s="48"/>
      <c r="W72" s="48"/>
      <c r="X72" s="48"/>
      <c r="Y72" s="48"/>
      <c r="Z72" s="48"/>
      <c r="AA72" s="48"/>
      <c r="AB72" s="48"/>
    </row>
    <row r="73" spans="2:31" s="50" customFormat="1" ht="17.25" hidden="1" thickBot="1" x14ac:dyDescent="0.35">
      <c r="B73" s="294">
        <f>N(B72)+1</f>
        <v>3</v>
      </c>
      <c r="N73" s="750"/>
      <c r="O73" s="750"/>
      <c r="P73" s="553"/>
      <c r="Q73" s="554"/>
      <c r="R73" s="555"/>
      <c r="S73" s="48"/>
      <c r="T73" s="48"/>
      <c r="U73" s="48"/>
      <c r="V73" s="48"/>
      <c r="W73" s="48"/>
      <c r="X73" s="48"/>
      <c r="Y73" s="48"/>
      <c r="Z73" s="48"/>
      <c r="AA73" s="48"/>
      <c r="AB73" s="48"/>
    </row>
    <row r="74" spans="2:31" ht="9.9499999999999993" customHeight="1" x14ac:dyDescent="0.3">
      <c r="B74" s="132" t="s">
        <v>417</v>
      </c>
      <c r="L74" s="41" t="s">
        <v>412</v>
      </c>
      <c r="M74" s="41" t="b">
        <f>ПЕРИОД!D10="Летен"</f>
        <v>1</v>
      </c>
      <c r="N74"/>
      <c r="O74"/>
      <c r="P74"/>
      <c r="Q74"/>
      <c r="R74"/>
      <c r="S74" s="45"/>
      <c r="T74" s="45"/>
      <c r="U74" s="45"/>
      <c r="V74" s="45"/>
      <c r="W74" s="45"/>
      <c r="X74" s="45"/>
      <c r="Y74" s="45"/>
      <c r="Z74" s="45"/>
      <c r="AA74" s="45"/>
      <c r="AB74" s="45"/>
    </row>
    <row r="75" spans="2:31" ht="26.25" x14ac:dyDescent="0.3">
      <c r="B75" s="216" t="s">
        <v>420</v>
      </c>
      <c r="M75" s="41">
        <f>IF($M$74,1,"2.1")</f>
        <v>1</v>
      </c>
      <c r="N75" s="1623" t="str">
        <f>M75&amp;". ОКС ""магистър"" след придобита образователно-квалификационна степен на висшето образование – аудиторна заетост и изпитани студенти – ЛЕТЕН семестър"</f>
        <v>1. ОКС "магистър" след придобита образователно-квалификационна степен на висшето образование – аудиторна заетост и изпитани студенти – ЛЕТЕН семестър</v>
      </c>
      <c r="O75" s="1624"/>
      <c r="P75" s="1624"/>
      <c r="Q75" s="1624"/>
      <c r="R75" s="1624"/>
      <c r="S75" s="1624"/>
      <c r="T75" s="1624"/>
      <c r="U75" s="1624"/>
      <c r="V75" s="1624"/>
      <c r="W75" s="1624"/>
      <c r="X75" s="1624"/>
      <c r="Y75" s="1624"/>
      <c r="Z75" s="1624"/>
      <c r="AA75" s="1624"/>
      <c r="AB75" s="1625"/>
    </row>
    <row r="76" spans="2:31" ht="21" thickBot="1" x14ac:dyDescent="0.35">
      <c r="B76" s="131" t="s">
        <v>477</v>
      </c>
      <c r="M76" s="222"/>
      <c r="N76" s="1637" t="s">
        <v>478</v>
      </c>
      <c r="O76" s="1630"/>
      <c r="P76" s="1630"/>
      <c r="Q76" s="1630"/>
      <c r="R76" s="1630"/>
      <c r="S76" s="1630"/>
      <c r="T76" s="1630"/>
      <c r="U76" s="1630"/>
      <c r="V76" s="1630"/>
      <c r="W76" s="1630"/>
      <c r="X76" s="1630"/>
      <c r="Y76" s="1630"/>
      <c r="Z76" s="1630"/>
      <c r="AA76" s="1630"/>
      <c r="AB76" s="1631"/>
    </row>
    <row r="77" spans="2:31" ht="21" thickBot="1" x14ac:dyDescent="0.35">
      <c r="B77" s="131" t="s">
        <v>418</v>
      </c>
      <c r="C77" s="123"/>
      <c r="D77" s="123"/>
      <c r="E77" s="123"/>
      <c r="F77" s="123"/>
      <c r="G77" s="123"/>
      <c r="H77" s="123"/>
      <c r="I77" s="121"/>
      <c r="J77" s="121"/>
      <c r="L77" s="123"/>
      <c r="M77" s="123"/>
      <c r="N77" s="1550" t="s">
        <v>16</v>
      </c>
      <c r="O77" s="1552" t="s">
        <v>157</v>
      </c>
      <c r="P77" s="1561" t="s">
        <v>18</v>
      </c>
      <c r="Q77" s="1550" t="s">
        <v>19</v>
      </c>
      <c r="R77" s="1552" t="s">
        <v>20</v>
      </c>
      <c r="S77" s="1555" t="s">
        <v>569</v>
      </c>
      <c r="T77" s="1550" t="str">
        <f>T53</f>
        <v>Студенти
бр.</v>
      </c>
      <c r="U77" s="1663" t="str">
        <f>IF(ПЕРИОД!D10="План","Възложени часове","Проведени часове")</f>
        <v>Проведени часове</v>
      </c>
      <c r="V77" s="1664"/>
      <c r="W77" s="1557" t="s">
        <v>21</v>
      </c>
      <c r="X77" s="1552" t="s">
        <v>474</v>
      </c>
      <c r="Y77" s="1561" t="s">
        <v>312</v>
      </c>
      <c r="Z77" s="1550" t="s">
        <v>335</v>
      </c>
      <c r="AA77" s="1552"/>
      <c r="AB77" s="1555"/>
    </row>
    <row r="78" spans="2:31" ht="26.25" thickBot="1" x14ac:dyDescent="0.35">
      <c r="B78" s="131" t="s">
        <v>419</v>
      </c>
      <c r="C78" s="1566" t="s">
        <v>316</v>
      </c>
      <c r="D78" s="1567"/>
      <c r="E78" s="1567"/>
      <c r="F78" s="1566" t="s">
        <v>313</v>
      </c>
      <c r="G78" s="1567"/>
      <c r="H78" s="1567"/>
      <c r="I78" s="1568"/>
      <c r="J78" s="1567" t="s">
        <v>339</v>
      </c>
      <c r="K78" s="1567"/>
      <c r="L78" s="1567"/>
      <c r="M78" s="1567"/>
      <c r="N78" s="1551"/>
      <c r="O78" s="1553"/>
      <c r="P78" s="1562"/>
      <c r="Q78" s="1551"/>
      <c r="R78" s="1553"/>
      <c r="S78" s="1556"/>
      <c r="T78" s="1551"/>
      <c r="U78" s="274" t="s">
        <v>329</v>
      </c>
      <c r="V78" s="275" t="s">
        <v>393</v>
      </c>
      <c r="W78" s="1622"/>
      <c r="X78" s="1553"/>
      <c r="Y78" s="1562"/>
      <c r="Z78" s="271" t="s">
        <v>330</v>
      </c>
      <c r="AA78" s="272" t="s">
        <v>331</v>
      </c>
      <c r="AB78" s="273" t="s">
        <v>394</v>
      </c>
    </row>
    <row r="79" spans="2:31" s="52" customFormat="1" ht="21" hidden="1" thickBot="1" x14ac:dyDescent="0.25">
      <c r="B79" s="131" t="s">
        <v>425</v>
      </c>
      <c r="C79" s="167" t="s">
        <v>422</v>
      </c>
      <c r="D79" s="168" t="s">
        <v>318</v>
      </c>
      <c r="E79" s="168" t="s">
        <v>338</v>
      </c>
      <c r="F79" s="167" t="s">
        <v>314</v>
      </c>
      <c r="G79" s="168" t="s">
        <v>424</v>
      </c>
      <c r="H79" s="168" t="s">
        <v>396</v>
      </c>
      <c r="I79" s="867" t="s">
        <v>336</v>
      </c>
      <c r="J79" s="879" t="s">
        <v>337</v>
      </c>
      <c r="K79" s="168" t="s">
        <v>392</v>
      </c>
      <c r="L79" s="168" t="s">
        <v>341</v>
      </c>
      <c r="M79" s="168" t="s">
        <v>404</v>
      </c>
      <c r="N79" s="256" t="s">
        <v>16</v>
      </c>
      <c r="O79" s="212" t="s">
        <v>421</v>
      </c>
      <c r="P79" s="214" t="s">
        <v>18</v>
      </c>
      <c r="Q79" s="213" t="s">
        <v>19</v>
      </c>
      <c r="R79" s="212" t="s">
        <v>20</v>
      </c>
      <c r="S79" s="214" t="s">
        <v>630</v>
      </c>
      <c r="T79" s="215" t="s">
        <v>628</v>
      </c>
      <c r="U79" s="212" t="s">
        <v>334</v>
      </c>
      <c r="V79" s="214" t="s">
        <v>342</v>
      </c>
      <c r="W79" s="213" t="s">
        <v>21</v>
      </c>
      <c r="X79" s="212" t="s">
        <v>631</v>
      </c>
      <c r="Y79" s="257" t="s">
        <v>333</v>
      </c>
      <c r="Z79" s="258" t="s">
        <v>330</v>
      </c>
      <c r="AA79" s="212" t="s">
        <v>86</v>
      </c>
      <c r="AB79" s="214" t="s">
        <v>332</v>
      </c>
      <c r="AC79" s="44"/>
    </row>
    <row r="80" spans="2:31" s="47" customFormat="1" x14ac:dyDescent="0.3">
      <c r="B80" s="294">
        <f t="shared" ref="B80:B98" si="3">N(B79)+1</f>
        <v>1</v>
      </c>
      <c r="C80" s="314">
        <f t="array" ref="C80">AND(LEN(MAZLS[[#This Row],[Дисциплина]]&amp;MAZLS[[#This Row],[Магистърска програма]]&amp;MAZLS[[#This Row],[Факултет]])&gt;0,MAZLS[[#This Row],[Вид]]&lt;&gt;{"З";"И";"Ф"})*1</f>
        <v>0</v>
      </c>
      <c r="D80" s="314">
        <f>AND(MAZLS[[#This Row],[Дисциплина]]&lt;&gt;0,OR(MAZLS[[#This Row],[Лекции]]&lt;&gt;0,MAZLS[[#This Row],[Упражнения]]&lt;&gt;0),MAZLS[[#This Row],[Студенти]]=0)*1</f>
        <v>0</v>
      </c>
      <c r="E80" s="314">
        <f>AND(MAZLS[[#This Row],[Изпитани]]&lt;&gt;0,MAZLS[[#This Row],[Изпитващ]]=0)*1</f>
        <v>0</v>
      </c>
      <c r="F80" s="315">
        <f>IFERROR(VLOOKUP(MAZLS[[#This Row],[Език]],Коефициент_Eзик[],2,0),0)</f>
        <v>1</v>
      </c>
      <c r="G80" s="314">
        <f>IFERROR(IF(MAZLS[[#This Row],[Студенти]]&gt;=6,1,VLOOKUP(MAZLS[[#This Row],[Студенти]],RdukciaChasove[],2,0)),0)</f>
        <v>0</v>
      </c>
      <c r="H80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0" s="861">
        <v>0.5</v>
      </c>
      <c r="J80" s="880">
        <f>N(MAZLS[[#This Row],[ТО]])*MAZLS[[#This Row],[кTO]]</f>
        <v>0</v>
      </c>
      <c r="K80" s="314">
        <f>MAZLS[[#This Row],[Изпитани]]*MAZLS[[#This Row],[кИзпитващ]]</f>
        <v>0</v>
      </c>
      <c r="L80" s="314">
        <f>MAZLS[[#This Row],[Лекции]]*MAZLS[[#This Row],[кЕзик]]*MAZLS[[#This Row],[кСтудент]]*кЛекции</f>
        <v>0</v>
      </c>
      <c r="M80" s="314">
        <f>MAZLS[[#This Row],[Упражнения]]*MAZLS[[#This Row],[кЕзик]]*MAZLS[[#This Row],[кСтудент]]*кУпражнение</f>
        <v>0</v>
      </c>
      <c r="N80" s="787"/>
      <c r="O80" s="788"/>
      <c r="P80" s="789"/>
      <c r="Q80" s="790"/>
      <c r="R80" s="796"/>
      <c r="S80" s="789"/>
      <c r="T80" s="333"/>
      <c r="U80" s="332"/>
      <c r="V80" s="330"/>
      <c r="W80" s="795" t="s">
        <v>84</v>
      </c>
      <c r="X80" s="796" t="s">
        <v>691</v>
      </c>
      <c r="Y80" s="789" t="s">
        <v>691</v>
      </c>
      <c r="Z80" s="331"/>
      <c r="AA80" s="332"/>
      <c r="AB80" s="330"/>
    </row>
    <row r="81" spans="2:28" s="47" customFormat="1" x14ac:dyDescent="0.3">
      <c r="B81" s="294">
        <f t="shared" si="3"/>
        <v>2</v>
      </c>
      <c r="C81" s="314">
        <f t="array" ref="C81">AND(LEN(MAZLS[[#This Row],[Дисциплина]]&amp;MAZLS[[#This Row],[Магистърска програма]]&amp;MAZLS[[#This Row],[Факултет]])&gt;0,MAZLS[[#This Row],[Вид]]&lt;&gt;{"З";"И";"Ф"})*1</f>
        <v>0</v>
      </c>
      <c r="D81" s="314">
        <f>AND(MAZLS[[#This Row],[Дисциплина]]&lt;&gt;0,OR(MAZLS[[#This Row],[Лекции]]&lt;&gt;0,MAZLS[[#This Row],[Упражнения]]&lt;&gt;0),MAZLS[[#This Row],[Студенти]]=0)*1</f>
        <v>0</v>
      </c>
      <c r="E81" s="314">
        <f>AND(MAZLS[[#This Row],[Изпитани]]&lt;&gt;0,MAZLS[[#This Row],[Изпитващ]]=0)*1</f>
        <v>0</v>
      </c>
      <c r="F81" s="315">
        <f>IFERROR(VLOOKUP(MAZLS[[#This Row],[Език]],Коефициент_Eзик[],2,0),0)</f>
        <v>1</v>
      </c>
      <c r="G81" s="314">
        <f>IFERROR(IF(MAZLS[[#This Row],[Студенти]]&gt;=6,1,VLOOKUP(MAZLS[[#This Row],[Студенти]],RdukciaChasove[],2,0)),0)</f>
        <v>0</v>
      </c>
      <c r="H81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1" s="861">
        <v>0.5</v>
      </c>
      <c r="J81" s="880">
        <f>N(MAZLS[[#This Row],[ТО]])*MAZLS[[#This Row],[кTO]]</f>
        <v>0</v>
      </c>
      <c r="K81" s="314">
        <f>MAZLS[[#This Row],[Изпитани]]*MAZLS[[#This Row],[кИзпитващ]]</f>
        <v>0</v>
      </c>
      <c r="L81" s="314">
        <f>MAZLS[[#This Row],[Лекции]]*MAZLS[[#This Row],[кЕзик]]*MAZLS[[#This Row],[кСтудент]]*кЛекции</f>
        <v>0</v>
      </c>
      <c r="M81" s="314">
        <f>MAZLS[[#This Row],[Упражнения]]*MAZLS[[#This Row],[кЕзик]]*MAZLS[[#This Row],[кСтудент]]*кУпражнение</f>
        <v>0</v>
      </c>
      <c r="N81" s="787" t="s">
        <v>691</v>
      </c>
      <c r="O81" s="788" t="s">
        <v>691</v>
      </c>
      <c r="P81" s="789" t="s">
        <v>691</v>
      </c>
      <c r="Q81" s="790"/>
      <c r="R81" s="796"/>
      <c r="S81" s="789"/>
      <c r="T81" s="333"/>
      <c r="U81" s="332"/>
      <c r="V81" s="330"/>
      <c r="W81" s="795" t="s">
        <v>84</v>
      </c>
      <c r="X81" s="796" t="s">
        <v>691</v>
      </c>
      <c r="Y81" s="789" t="s">
        <v>691</v>
      </c>
      <c r="Z81" s="331"/>
      <c r="AA81" s="332"/>
      <c r="AB81" s="330"/>
    </row>
    <row r="82" spans="2:28" s="47" customFormat="1" x14ac:dyDescent="0.3">
      <c r="B82" s="294">
        <f t="shared" si="3"/>
        <v>3</v>
      </c>
      <c r="C82" s="314">
        <f t="array" ref="C82">AND(LEN(MAZLS[[#This Row],[Дисциплина]]&amp;MAZLS[[#This Row],[Магистърска програма]]&amp;MAZLS[[#This Row],[Факултет]])&gt;0,MAZLS[[#This Row],[Вид]]&lt;&gt;{"З";"И";"Ф"})*1</f>
        <v>0</v>
      </c>
      <c r="D82" s="314">
        <f>AND(MAZLS[[#This Row],[Дисциплина]]&lt;&gt;0,OR(MAZLS[[#This Row],[Лекции]]&lt;&gt;0,MAZLS[[#This Row],[Упражнения]]&lt;&gt;0),MAZLS[[#This Row],[Студенти]]=0)*1</f>
        <v>0</v>
      </c>
      <c r="E82" s="314">
        <f>AND(MAZLS[[#This Row],[Изпитани]]&lt;&gt;0,MAZLS[[#This Row],[Изпитващ]]=0)*1</f>
        <v>0</v>
      </c>
      <c r="F82" s="315">
        <f>IFERROR(VLOOKUP(MAZLS[[#This Row],[Език]],Коефициент_Eзик[],2,0),0)</f>
        <v>1</v>
      </c>
      <c r="G82" s="314">
        <f>IFERROR(IF(MAZLS[[#This Row],[Студенти]]&gt;=6,1,VLOOKUP(MAZLS[[#This Row],[Студенти]],RdukciaChasove[],2,0)),0)</f>
        <v>0</v>
      </c>
      <c r="H82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2" s="861">
        <v>0.5</v>
      </c>
      <c r="J82" s="880">
        <f>N(MAZLS[[#This Row],[ТО]])*MAZLS[[#This Row],[кTO]]</f>
        <v>0</v>
      </c>
      <c r="K82" s="314">
        <f>MAZLS[[#This Row],[Изпитани]]*MAZLS[[#This Row],[кИзпитващ]]</f>
        <v>0</v>
      </c>
      <c r="L82" s="314">
        <f>MAZLS[[#This Row],[Лекции]]*MAZLS[[#This Row],[кЕзик]]*MAZLS[[#This Row],[кСтудент]]*кЛекции</f>
        <v>0</v>
      </c>
      <c r="M82" s="314">
        <f>MAZLS[[#This Row],[Упражнения]]*MAZLS[[#This Row],[кЕзик]]*MAZLS[[#This Row],[кСтудент]]*кУпражнение</f>
        <v>0</v>
      </c>
      <c r="N82" s="787" t="s">
        <v>691</v>
      </c>
      <c r="O82" s="788" t="s">
        <v>691</v>
      </c>
      <c r="P82" s="789" t="s">
        <v>691</v>
      </c>
      <c r="Q82" s="790"/>
      <c r="R82" s="796"/>
      <c r="S82" s="789"/>
      <c r="T82" s="333"/>
      <c r="U82" s="332"/>
      <c r="V82" s="330"/>
      <c r="W82" s="795" t="s">
        <v>84</v>
      </c>
      <c r="X82" s="796" t="s">
        <v>691</v>
      </c>
      <c r="Y82" s="789" t="s">
        <v>691</v>
      </c>
      <c r="Z82" s="331"/>
      <c r="AA82" s="332"/>
      <c r="AB82" s="330"/>
    </row>
    <row r="83" spans="2:28" s="47" customFormat="1" x14ac:dyDescent="0.3">
      <c r="B83" s="294">
        <f t="shared" si="3"/>
        <v>4</v>
      </c>
      <c r="C83" s="314">
        <f t="array" ref="C83">AND(LEN(MAZLS[[#This Row],[Дисциплина]]&amp;MAZLS[[#This Row],[Магистърска програма]]&amp;MAZLS[[#This Row],[Факултет]])&gt;0,MAZLS[[#This Row],[Вид]]&lt;&gt;{"З";"И";"Ф"})*1</f>
        <v>0</v>
      </c>
      <c r="D83" s="314">
        <f>AND(MAZLS[[#This Row],[Дисциплина]]&lt;&gt;0,OR(MAZLS[[#This Row],[Лекции]]&lt;&gt;0,MAZLS[[#This Row],[Упражнения]]&lt;&gt;0),MAZLS[[#This Row],[Студенти]]=0)*1</f>
        <v>0</v>
      </c>
      <c r="E83" s="314">
        <f>AND(MAZLS[[#This Row],[Изпитани]]&lt;&gt;0,MAZLS[[#This Row],[Изпитващ]]=0)*1</f>
        <v>0</v>
      </c>
      <c r="F83" s="315">
        <f>IFERROR(VLOOKUP(MAZLS[[#This Row],[Език]],Коефициент_Eзик[],2,0),0)</f>
        <v>1</v>
      </c>
      <c r="G83" s="314">
        <f>IFERROR(IF(MAZLS[[#This Row],[Студенти]]&gt;=6,1,VLOOKUP(MAZLS[[#This Row],[Студенти]],RdukciaChasove[],2,0)),0)</f>
        <v>0</v>
      </c>
      <c r="H83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3" s="861">
        <v>0.5</v>
      </c>
      <c r="J83" s="880">
        <f>N(MAZLS[[#This Row],[ТО]])*MAZLS[[#This Row],[кTO]]</f>
        <v>0</v>
      </c>
      <c r="K83" s="314">
        <f>MAZLS[[#This Row],[Изпитани]]*MAZLS[[#This Row],[кИзпитващ]]</f>
        <v>0</v>
      </c>
      <c r="L83" s="314">
        <f>MAZLS[[#This Row],[Лекции]]*MAZLS[[#This Row],[кЕзик]]*MAZLS[[#This Row],[кСтудент]]*кЛекции</f>
        <v>0</v>
      </c>
      <c r="M83" s="314">
        <f>MAZLS[[#This Row],[Упражнения]]*MAZLS[[#This Row],[кЕзик]]*MAZLS[[#This Row],[кСтудент]]*кУпражнение</f>
        <v>0</v>
      </c>
      <c r="N83" s="787" t="s">
        <v>691</v>
      </c>
      <c r="O83" s="788" t="s">
        <v>691</v>
      </c>
      <c r="P83" s="789" t="s">
        <v>691</v>
      </c>
      <c r="Q83" s="790"/>
      <c r="R83" s="796"/>
      <c r="S83" s="789"/>
      <c r="T83" s="333"/>
      <c r="U83" s="332"/>
      <c r="V83" s="330"/>
      <c r="W83" s="795" t="s">
        <v>84</v>
      </c>
      <c r="X83" s="796" t="s">
        <v>691</v>
      </c>
      <c r="Y83" s="789" t="s">
        <v>691</v>
      </c>
      <c r="Z83" s="331"/>
      <c r="AA83" s="332"/>
      <c r="AB83" s="330"/>
    </row>
    <row r="84" spans="2:28" s="47" customFormat="1" x14ac:dyDescent="0.3">
      <c r="B84" s="294">
        <f t="shared" si="3"/>
        <v>5</v>
      </c>
      <c r="C84" s="314">
        <f t="array" ref="C84">AND(LEN(MAZLS[[#This Row],[Дисциплина]]&amp;MAZLS[[#This Row],[Магистърска програма]]&amp;MAZLS[[#This Row],[Факултет]])&gt;0,MAZLS[[#This Row],[Вид]]&lt;&gt;{"З";"И";"Ф"})*1</f>
        <v>0</v>
      </c>
      <c r="D84" s="314">
        <f>AND(MAZLS[[#This Row],[Дисциплина]]&lt;&gt;0,OR(MAZLS[[#This Row],[Лекции]]&lt;&gt;0,MAZLS[[#This Row],[Упражнения]]&lt;&gt;0),MAZLS[[#This Row],[Студенти]]=0)*1</f>
        <v>0</v>
      </c>
      <c r="E84" s="314">
        <f>AND(MAZLS[[#This Row],[Изпитани]]&lt;&gt;0,MAZLS[[#This Row],[Изпитващ]]=0)*1</f>
        <v>0</v>
      </c>
      <c r="F84" s="315">
        <f>IFERROR(VLOOKUP(MAZLS[[#This Row],[Език]],Коефициент_Eзик[],2,0),0)</f>
        <v>1</v>
      </c>
      <c r="G84" s="314">
        <f>IFERROR(IF(MAZLS[[#This Row],[Студенти]]&gt;=6,1,VLOOKUP(MAZLS[[#This Row],[Студенти]],RdukciaChasove[],2,0)),0)</f>
        <v>0</v>
      </c>
      <c r="H84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4" s="861">
        <v>0.5</v>
      </c>
      <c r="J84" s="880">
        <f>N(MAZLS[[#This Row],[ТО]])*MAZLS[[#This Row],[кTO]]</f>
        <v>0</v>
      </c>
      <c r="K84" s="314">
        <f>MAZLS[[#This Row],[Изпитани]]*MAZLS[[#This Row],[кИзпитващ]]</f>
        <v>0</v>
      </c>
      <c r="L84" s="314">
        <f>MAZLS[[#This Row],[Лекции]]*MAZLS[[#This Row],[кЕзик]]*MAZLS[[#This Row],[кСтудент]]*кЛекции</f>
        <v>0</v>
      </c>
      <c r="M84" s="314">
        <f>MAZLS[[#This Row],[Упражнения]]*MAZLS[[#This Row],[кЕзик]]*MAZLS[[#This Row],[кСтудент]]*кУпражнение</f>
        <v>0</v>
      </c>
      <c r="N84" s="787" t="s">
        <v>691</v>
      </c>
      <c r="O84" s="788" t="s">
        <v>691</v>
      </c>
      <c r="P84" s="789" t="s">
        <v>691</v>
      </c>
      <c r="Q84" s="790"/>
      <c r="R84" s="796"/>
      <c r="S84" s="789"/>
      <c r="T84" s="333"/>
      <c r="U84" s="332"/>
      <c r="V84" s="330"/>
      <c r="W84" s="795" t="s">
        <v>84</v>
      </c>
      <c r="X84" s="796" t="s">
        <v>691</v>
      </c>
      <c r="Y84" s="789" t="s">
        <v>691</v>
      </c>
      <c r="Z84" s="331"/>
      <c r="AA84" s="332"/>
      <c r="AB84" s="330"/>
    </row>
    <row r="85" spans="2:28" s="47" customFormat="1" x14ac:dyDescent="0.3">
      <c r="B85" s="294">
        <f t="shared" si="3"/>
        <v>6</v>
      </c>
      <c r="C85" s="314">
        <f t="array" ref="C85">AND(LEN(MAZLS[[#This Row],[Дисциплина]]&amp;MAZLS[[#This Row],[Магистърска програма]]&amp;MAZLS[[#This Row],[Факултет]])&gt;0,MAZLS[[#This Row],[Вид]]&lt;&gt;{"З";"И";"Ф"})*1</f>
        <v>0</v>
      </c>
      <c r="D85" s="314">
        <f>AND(MAZLS[[#This Row],[Дисциплина]]&lt;&gt;0,OR(MAZLS[[#This Row],[Лекции]]&lt;&gt;0,MAZLS[[#This Row],[Упражнения]]&lt;&gt;0),MAZLS[[#This Row],[Студенти]]=0)*1</f>
        <v>0</v>
      </c>
      <c r="E85" s="314">
        <f>AND(MAZLS[[#This Row],[Изпитани]]&lt;&gt;0,MAZLS[[#This Row],[Изпитващ]]=0)*1</f>
        <v>0</v>
      </c>
      <c r="F85" s="315">
        <f>IFERROR(VLOOKUP(MAZLS[[#This Row],[Език]],Коефициент_Eзик[],2,0),0)</f>
        <v>1</v>
      </c>
      <c r="G85" s="314">
        <f>IFERROR(IF(MAZLS[[#This Row],[Студенти]]&gt;=6,1,VLOOKUP(MAZLS[[#This Row],[Студенти]],RdukciaChasove[],2,0)),0)</f>
        <v>0</v>
      </c>
      <c r="H85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5" s="861">
        <v>0.5</v>
      </c>
      <c r="J85" s="880">
        <f>N(MAZLS[[#This Row],[ТО]])*MAZLS[[#This Row],[кTO]]</f>
        <v>0</v>
      </c>
      <c r="K85" s="314">
        <f>MAZLS[[#This Row],[Изпитани]]*MAZLS[[#This Row],[кИзпитващ]]</f>
        <v>0</v>
      </c>
      <c r="L85" s="314">
        <f>MAZLS[[#This Row],[Лекции]]*MAZLS[[#This Row],[кЕзик]]*MAZLS[[#This Row],[кСтудент]]*кЛекции</f>
        <v>0</v>
      </c>
      <c r="M85" s="314">
        <f>MAZLS[[#This Row],[Упражнения]]*MAZLS[[#This Row],[кЕзик]]*MAZLS[[#This Row],[кСтудент]]*кУпражнение</f>
        <v>0</v>
      </c>
      <c r="N85" s="787" t="s">
        <v>691</v>
      </c>
      <c r="O85" s="788" t="s">
        <v>691</v>
      </c>
      <c r="P85" s="789" t="s">
        <v>691</v>
      </c>
      <c r="Q85" s="790"/>
      <c r="R85" s="796"/>
      <c r="S85" s="789"/>
      <c r="T85" s="333"/>
      <c r="U85" s="332"/>
      <c r="V85" s="330"/>
      <c r="W85" s="795" t="s">
        <v>84</v>
      </c>
      <c r="X85" s="796" t="s">
        <v>691</v>
      </c>
      <c r="Y85" s="789" t="s">
        <v>691</v>
      </c>
      <c r="Z85" s="331"/>
      <c r="AA85" s="332"/>
      <c r="AB85" s="330"/>
    </row>
    <row r="86" spans="2:28" s="47" customFormat="1" x14ac:dyDescent="0.3">
      <c r="B86" s="294">
        <f t="shared" si="3"/>
        <v>7</v>
      </c>
      <c r="C86" s="314">
        <f t="array" ref="C86">AND(LEN(MAZLS[[#This Row],[Дисциплина]]&amp;MAZLS[[#This Row],[Магистърска програма]]&amp;MAZLS[[#This Row],[Факултет]])&gt;0,MAZLS[[#This Row],[Вид]]&lt;&gt;{"З";"И";"Ф"})*1</f>
        <v>0</v>
      </c>
      <c r="D86" s="314">
        <f>AND(MAZLS[[#This Row],[Дисциплина]]&lt;&gt;0,OR(MAZLS[[#This Row],[Лекции]]&lt;&gt;0,MAZLS[[#This Row],[Упражнения]]&lt;&gt;0),MAZLS[[#This Row],[Студенти]]=0)*1</f>
        <v>0</v>
      </c>
      <c r="E86" s="314">
        <f>AND(MAZLS[[#This Row],[Изпитани]]&lt;&gt;0,MAZLS[[#This Row],[Изпитващ]]=0)*1</f>
        <v>0</v>
      </c>
      <c r="F86" s="315">
        <f>IFERROR(VLOOKUP(MAZLS[[#This Row],[Език]],Коефициент_Eзик[],2,0),0)</f>
        <v>1</v>
      </c>
      <c r="G86" s="314">
        <f>IFERROR(IF(MAZLS[[#This Row],[Студенти]]&gt;=6,1,VLOOKUP(MAZLS[[#This Row],[Студенти]],RdukciaChasove[],2,0)),0)</f>
        <v>0</v>
      </c>
      <c r="H86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6" s="861">
        <v>0.5</v>
      </c>
      <c r="J86" s="880">
        <f>N(MAZLS[[#This Row],[ТО]])*MAZLS[[#This Row],[кTO]]</f>
        <v>0</v>
      </c>
      <c r="K86" s="314">
        <f>MAZLS[[#This Row],[Изпитани]]*MAZLS[[#This Row],[кИзпитващ]]</f>
        <v>0</v>
      </c>
      <c r="L86" s="314">
        <f>MAZLS[[#This Row],[Лекции]]*MAZLS[[#This Row],[кЕзик]]*MAZLS[[#This Row],[кСтудент]]*кЛекции</f>
        <v>0</v>
      </c>
      <c r="M86" s="314">
        <f>MAZLS[[#This Row],[Упражнения]]*MAZLS[[#This Row],[кЕзик]]*MAZLS[[#This Row],[кСтудент]]*кУпражнение</f>
        <v>0</v>
      </c>
      <c r="N86" s="787" t="s">
        <v>691</v>
      </c>
      <c r="O86" s="788" t="s">
        <v>691</v>
      </c>
      <c r="P86" s="789" t="s">
        <v>691</v>
      </c>
      <c r="Q86" s="790"/>
      <c r="R86" s="796"/>
      <c r="S86" s="789"/>
      <c r="T86" s="333"/>
      <c r="U86" s="332"/>
      <c r="V86" s="330"/>
      <c r="W86" s="795" t="s">
        <v>84</v>
      </c>
      <c r="X86" s="796" t="s">
        <v>691</v>
      </c>
      <c r="Y86" s="789" t="s">
        <v>691</v>
      </c>
      <c r="Z86" s="331"/>
      <c r="AA86" s="332"/>
      <c r="AB86" s="330"/>
    </row>
    <row r="87" spans="2:28" s="47" customFormat="1" x14ac:dyDescent="0.3">
      <c r="B87" s="294">
        <f t="shared" si="3"/>
        <v>8</v>
      </c>
      <c r="C87" s="314">
        <f t="array" ref="C87">AND(LEN(MAZLS[[#This Row],[Дисциплина]]&amp;MAZLS[[#This Row],[Магистърска програма]]&amp;MAZLS[[#This Row],[Факултет]])&gt;0,MAZLS[[#This Row],[Вид]]&lt;&gt;{"З";"И";"Ф"})*1</f>
        <v>0</v>
      </c>
      <c r="D87" s="314">
        <f>AND(MAZLS[[#This Row],[Дисциплина]]&lt;&gt;0,OR(MAZLS[[#This Row],[Лекции]]&lt;&gt;0,MAZLS[[#This Row],[Упражнения]]&lt;&gt;0),MAZLS[[#This Row],[Студенти]]=0)*1</f>
        <v>0</v>
      </c>
      <c r="E87" s="314">
        <f>AND(MAZLS[[#This Row],[Изпитани]]&lt;&gt;0,MAZLS[[#This Row],[Изпитващ]]=0)*1</f>
        <v>0</v>
      </c>
      <c r="F87" s="315">
        <f>IFERROR(VLOOKUP(MAZLS[[#This Row],[Език]],Коефициент_Eзик[],2,0),0)</f>
        <v>1</v>
      </c>
      <c r="G87" s="314">
        <f>IFERROR(IF(MAZLS[[#This Row],[Студенти]]&gt;=6,1,VLOOKUP(MAZLS[[#This Row],[Студенти]],RdukciaChasove[],2,0)),0)</f>
        <v>0</v>
      </c>
      <c r="H87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7" s="861">
        <v>0.5</v>
      </c>
      <c r="J87" s="880">
        <f>N(MAZLS[[#This Row],[ТО]])*MAZLS[[#This Row],[кTO]]</f>
        <v>0</v>
      </c>
      <c r="K87" s="314">
        <f>MAZLS[[#This Row],[Изпитани]]*MAZLS[[#This Row],[кИзпитващ]]</f>
        <v>0</v>
      </c>
      <c r="L87" s="314">
        <f>MAZLS[[#This Row],[Лекции]]*MAZLS[[#This Row],[кЕзик]]*MAZLS[[#This Row],[кСтудент]]*кЛекции</f>
        <v>0</v>
      </c>
      <c r="M87" s="314">
        <f>MAZLS[[#This Row],[Упражнения]]*MAZLS[[#This Row],[кЕзик]]*MAZLS[[#This Row],[кСтудент]]*кУпражнение</f>
        <v>0</v>
      </c>
      <c r="N87" s="787" t="s">
        <v>691</v>
      </c>
      <c r="O87" s="788" t="s">
        <v>691</v>
      </c>
      <c r="P87" s="789" t="s">
        <v>691</v>
      </c>
      <c r="Q87" s="790"/>
      <c r="R87" s="796"/>
      <c r="S87" s="789"/>
      <c r="T87" s="333"/>
      <c r="U87" s="332"/>
      <c r="V87" s="330"/>
      <c r="W87" s="795" t="s">
        <v>84</v>
      </c>
      <c r="X87" s="796" t="s">
        <v>691</v>
      </c>
      <c r="Y87" s="789" t="s">
        <v>691</v>
      </c>
      <c r="Z87" s="331"/>
      <c r="AA87" s="332"/>
      <c r="AB87" s="330"/>
    </row>
    <row r="88" spans="2:28" s="47" customFormat="1" x14ac:dyDescent="0.3">
      <c r="B88" s="294">
        <f t="shared" si="3"/>
        <v>9</v>
      </c>
      <c r="C88" s="314">
        <f t="array" ref="C88">AND(LEN(MAZLS[[#This Row],[Дисциплина]]&amp;MAZLS[[#This Row],[Магистърска програма]]&amp;MAZLS[[#This Row],[Факултет]])&gt;0,MAZLS[[#This Row],[Вид]]&lt;&gt;{"З";"И";"Ф"})*1</f>
        <v>0</v>
      </c>
      <c r="D88" s="314">
        <f>AND(MAZLS[[#This Row],[Дисциплина]]&lt;&gt;0,OR(MAZLS[[#This Row],[Лекции]]&lt;&gt;0,MAZLS[[#This Row],[Упражнения]]&lt;&gt;0),MAZLS[[#This Row],[Студенти]]=0)*1</f>
        <v>0</v>
      </c>
      <c r="E88" s="314">
        <f>AND(MAZLS[[#This Row],[Изпитани]]&lt;&gt;0,MAZLS[[#This Row],[Изпитващ]]=0)*1</f>
        <v>0</v>
      </c>
      <c r="F88" s="315">
        <f>IFERROR(VLOOKUP(MAZLS[[#This Row],[Език]],Коефициент_Eзик[],2,0),0)</f>
        <v>1</v>
      </c>
      <c r="G88" s="314">
        <f>IFERROR(IF(MAZLS[[#This Row],[Студенти]]&gt;=6,1,VLOOKUP(MAZLS[[#This Row],[Студенти]],RdukciaChasove[],2,0)),0)</f>
        <v>0</v>
      </c>
      <c r="H88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8" s="861">
        <v>0.5</v>
      </c>
      <c r="J88" s="880">
        <f>N(MAZLS[[#This Row],[ТО]])*MAZLS[[#This Row],[кTO]]</f>
        <v>0</v>
      </c>
      <c r="K88" s="314">
        <f>MAZLS[[#This Row],[Изпитани]]*MAZLS[[#This Row],[кИзпитващ]]</f>
        <v>0</v>
      </c>
      <c r="L88" s="314">
        <f>MAZLS[[#This Row],[Лекции]]*MAZLS[[#This Row],[кЕзик]]*MAZLS[[#This Row],[кСтудент]]*кЛекции</f>
        <v>0</v>
      </c>
      <c r="M88" s="314">
        <f>MAZLS[[#This Row],[Упражнения]]*MAZLS[[#This Row],[кЕзик]]*MAZLS[[#This Row],[кСтудент]]*кУпражнение</f>
        <v>0</v>
      </c>
      <c r="N88" s="787" t="s">
        <v>691</v>
      </c>
      <c r="O88" s="788" t="s">
        <v>691</v>
      </c>
      <c r="P88" s="789" t="s">
        <v>691</v>
      </c>
      <c r="Q88" s="790"/>
      <c r="R88" s="796"/>
      <c r="S88" s="789"/>
      <c r="T88" s="333"/>
      <c r="U88" s="332"/>
      <c r="V88" s="330"/>
      <c r="W88" s="795" t="s">
        <v>84</v>
      </c>
      <c r="X88" s="796" t="s">
        <v>691</v>
      </c>
      <c r="Y88" s="789" t="s">
        <v>691</v>
      </c>
      <c r="Z88" s="331"/>
      <c r="AA88" s="332"/>
      <c r="AB88" s="330"/>
    </row>
    <row r="89" spans="2:28" s="47" customFormat="1" x14ac:dyDescent="0.3">
      <c r="B89" s="294">
        <f t="shared" si="3"/>
        <v>10</v>
      </c>
      <c r="C89" s="314">
        <f t="array" ref="C89">AND(LEN(MAZLS[[#This Row],[Дисциплина]]&amp;MAZLS[[#This Row],[Магистърска програма]]&amp;MAZLS[[#This Row],[Факултет]])&gt;0,MAZLS[[#This Row],[Вид]]&lt;&gt;{"З";"И";"Ф"})*1</f>
        <v>0</v>
      </c>
      <c r="D89" s="314">
        <f>AND(MAZLS[[#This Row],[Дисциплина]]&lt;&gt;0,OR(MAZLS[[#This Row],[Лекции]]&lt;&gt;0,MAZLS[[#This Row],[Упражнения]]&lt;&gt;0),MAZLS[[#This Row],[Студенти]]=0)*1</f>
        <v>0</v>
      </c>
      <c r="E89" s="314">
        <f>AND(MAZLS[[#This Row],[Изпитани]]&lt;&gt;0,MAZLS[[#This Row],[Изпитващ]]=0)*1</f>
        <v>0</v>
      </c>
      <c r="F89" s="315">
        <f>IFERROR(VLOOKUP(MAZLS[[#This Row],[Език]],Коефициент_Eзик[],2,0),0)</f>
        <v>1</v>
      </c>
      <c r="G89" s="314">
        <f>IFERROR(IF(MAZLS[[#This Row],[Студенти]]&gt;=6,1,VLOOKUP(MAZLS[[#This Row],[Студенти]],RdukciaChasove[],2,0)),0)</f>
        <v>0</v>
      </c>
      <c r="H89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89" s="861">
        <v>0.5</v>
      </c>
      <c r="J89" s="880">
        <f>N(MAZLS[[#This Row],[ТО]])*MAZLS[[#This Row],[кTO]]</f>
        <v>0</v>
      </c>
      <c r="K89" s="314">
        <f>MAZLS[[#This Row],[Изпитани]]*MAZLS[[#This Row],[кИзпитващ]]</f>
        <v>0</v>
      </c>
      <c r="L89" s="314">
        <f>MAZLS[[#This Row],[Лекции]]*MAZLS[[#This Row],[кЕзик]]*MAZLS[[#This Row],[кСтудент]]*кЛекции</f>
        <v>0</v>
      </c>
      <c r="M89" s="314">
        <f>MAZLS[[#This Row],[Упражнения]]*MAZLS[[#This Row],[кЕзик]]*MAZLS[[#This Row],[кСтудент]]*кУпражнение</f>
        <v>0</v>
      </c>
      <c r="N89" s="787" t="s">
        <v>691</v>
      </c>
      <c r="O89" s="788" t="s">
        <v>691</v>
      </c>
      <c r="P89" s="789" t="s">
        <v>691</v>
      </c>
      <c r="Q89" s="790"/>
      <c r="R89" s="796"/>
      <c r="S89" s="789"/>
      <c r="T89" s="333"/>
      <c r="U89" s="332"/>
      <c r="V89" s="330"/>
      <c r="W89" s="795" t="s">
        <v>84</v>
      </c>
      <c r="X89" s="796" t="s">
        <v>691</v>
      </c>
      <c r="Y89" s="789" t="s">
        <v>691</v>
      </c>
      <c r="Z89" s="331"/>
      <c r="AA89" s="332"/>
      <c r="AB89" s="330"/>
    </row>
    <row r="90" spans="2:28" s="47" customFormat="1" x14ac:dyDescent="0.3">
      <c r="B90" s="294">
        <f t="shared" si="3"/>
        <v>11</v>
      </c>
      <c r="C90" s="314">
        <f t="array" ref="C90">AND(LEN(MAZLS[[#This Row],[Дисциплина]]&amp;MAZLS[[#This Row],[Магистърска програма]]&amp;MAZLS[[#This Row],[Факултет]])&gt;0,MAZLS[[#This Row],[Вид]]&lt;&gt;{"З";"И";"Ф"})*1</f>
        <v>0</v>
      </c>
      <c r="D90" s="314">
        <f>AND(MAZLS[[#This Row],[Дисциплина]]&lt;&gt;0,OR(MAZLS[[#This Row],[Лекции]]&lt;&gt;0,MAZLS[[#This Row],[Упражнения]]&lt;&gt;0),MAZLS[[#This Row],[Студенти]]=0)*1</f>
        <v>0</v>
      </c>
      <c r="E90" s="314">
        <f>AND(MAZLS[[#This Row],[Изпитани]]&lt;&gt;0,MAZLS[[#This Row],[Изпитващ]]=0)*1</f>
        <v>0</v>
      </c>
      <c r="F90" s="315">
        <f>IFERROR(VLOOKUP(MAZLS[[#This Row],[Език]],Коефициент_Eзик[],2,0),0)</f>
        <v>1</v>
      </c>
      <c r="G90" s="314">
        <f>IFERROR(IF(MAZLS[[#This Row],[Студенти]]&gt;=6,1,VLOOKUP(MAZLS[[#This Row],[Студенти]],RdukciaChasove[],2,0)),0)</f>
        <v>0</v>
      </c>
      <c r="H90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0" s="861">
        <v>0.5</v>
      </c>
      <c r="J90" s="880">
        <f>N(MAZLS[[#This Row],[ТО]])*MAZLS[[#This Row],[кTO]]</f>
        <v>0</v>
      </c>
      <c r="K90" s="314">
        <f>MAZLS[[#This Row],[Изпитани]]*MAZLS[[#This Row],[кИзпитващ]]</f>
        <v>0</v>
      </c>
      <c r="L90" s="314">
        <f>MAZLS[[#This Row],[Лекции]]*MAZLS[[#This Row],[кЕзик]]*MAZLS[[#This Row],[кСтудент]]*кЛекции</f>
        <v>0</v>
      </c>
      <c r="M90" s="314">
        <f>MAZLS[[#This Row],[Упражнения]]*MAZLS[[#This Row],[кЕзик]]*MAZLS[[#This Row],[кСтудент]]*кУпражнение</f>
        <v>0</v>
      </c>
      <c r="N90" s="787" t="s">
        <v>691</v>
      </c>
      <c r="O90" s="788" t="s">
        <v>691</v>
      </c>
      <c r="P90" s="789" t="s">
        <v>691</v>
      </c>
      <c r="Q90" s="790"/>
      <c r="R90" s="796"/>
      <c r="S90" s="789"/>
      <c r="T90" s="333"/>
      <c r="U90" s="332"/>
      <c r="V90" s="330"/>
      <c r="W90" s="795" t="s">
        <v>84</v>
      </c>
      <c r="X90" s="796" t="s">
        <v>691</v>
      </c>
      <c r="Y90" s="789" t="s">
        <v>691</v>
      </c>
      <c r="Z90" s="331"/>
      <c r="AA90" s="332"/>
      <c r="AB90" s="330"/>
    </row>
    <row r="91" spans="2:28" s="47" customFormat="1" x14ac:dyDescent="0.3">
      <c r="B91" s="294">
        <f t="shared" si="3"/>
        <v>12</v>
      </c>
      <c r="C91" s="314">
        <f t="array" ref="C91">AND(LEN(MAZLS[[#This Row],[Дисциплина]]&amp;MAZLS[[#This Row],[Магистърска програма]]&amp;MAZLS[[#This Row],[Факултет]])&gt;0,MAZLS[[#This Row],[Вид]]&lt;&gt;{"З";"И";"Ф"})*1</f>
        <v>0</v>
      </c>
      <c r="D91" s="314">
        <f>AND(MAZLS[[#This Row],[Дисциплина]]&lt;&gt;0,OR(MAZLS[[#This Row],[Лекции]]&lt;&gt;0,MAZLS[[#This Row],[Упражнения]]&lt;&gt;0),MAZLS[[#This Row],[Студенти]]=0)*1</f>
        <v>0</v>
      </c>
      <c r="E91" s="314">
        <f>AND(MAZLS[[#This Row],[Изпитани]]&lt;&gt;0,MAZLS[[#This Row],[Изпитващ]]=0)*1</f>
        <v>0</v>
      </c>
      <c r="F91" s="315">
        <f>IFERROR(VLOOKUP(MAZLS[[#This Row],[Език]],Коефициент_Eзик[],2,0),0)</f>
        <v>1</v>
      </c>
      <c r="G91" s="314">
        <f>IFERROR(IF(MAZLS[[#This Row],[Студенти]]&gt;=6,1,VLOOKUP(MAZLS[[#This Row],[Студенти]],RdukciaChasove[],2,0)),0)</f>
        <v>0</v>
      </c>
      <c r="H91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1" s="861">
        <v>0.5</v>
      </c>
      <c r="J91" s="880">
        <f>N(MAZLS[[#This Row],[ТО]])*MAZLS[[#This Row],[кTO]]</f>
        <v>0</v>
      </c>
      <c r="K91" s="314">
        <f>MAZLS[[#This Row],[Изпитани]]*MAZLS[[#This Row],[кИзпитващ]]</f>
        <v>0</v>
      </c>
      <c r="L91" s="314">
        <f>MAZLS[[#This Row],[Лекции]]*MAZLS[[#This Row],[кЕзик]]*MAZLS[[#This Row],[кСтудент]]*кЛекции</f>
        <v>0</v>
      </c>
      <c r="M91" s="314">
        <f>MAZLS[[#This Row],[Упражнения]]*MAZLS[[#This Row],[кЕзик]]*MAZLS[[#This Row],[кСтудент]]*кУпражнение</f>
        <v>0</v>
      </c>
      <c r="N91" s="787" t="s">
        <v>691</v>
      </c>
      <c r="O91" s="788" t="s">
        <v>691</v>
      </c>
      <c r="P91" s="789" t="s">
        <v>691</v>
      </c>
      <c r="Q91" s="790"/>
      <c r="R91" s="796"/>
      <c r="S91" s="789"/>
      <c r="T91" s="333"/>
      <c r="U91" s="332"/>
      <c r="V91" s="330"/>
      <c r="W91" s="795" t="s">
        <v>84</v>
      </c>
      <c r="X91" s="796" t="s">
        <v>691</v>
      </c>
      <c r="Y91" s="789" t="s">
        <v>691</v>
      </c>
      <c r="Z91" s="331"/>
      <c r="AA91" s="332"/>
      <c r="AB91" s="330"/>
    </row>
    <row r="92" spans="2:28" s="47" customFormat="1" x14ac:dyDescent="0.3">
      <c r="B92" s="294">
        <f t="shared" si="3"/>
        <v>13</v>
      </c>
      <c r="C92" s="314">
        <f t="array" ref="C92">AND(LEN(MAZLS[[#This Row],[Дисциплина]]&amp;MAZLS[[#This Row],[Магистърска програма]]&amp;MAZLS[[#This Row],[Факултет]])&gt;0,MAZLS[[#This Row],[Вид]]&lt;&gt;{"З";"И";"Ф"})*1</f>
        <v>0</v>
      </c>
      <c r="D92" s="314">
        <f>AND(MAZLS[[#This Row],[Дисциплина]]&lt;&gt;0,OR(MAZLS[[#This Row],[Лекции]]&lt;&gt;0,MAZLS[[#This Row],[Упражнения]]&lt;&gt;0),MAZLS[[#This Row],[Студенти]]=0)*1</f>
        <v>0</v>
      </c>
      <c r="E92" s="314">
        <f>AND(MAZLS[[#This Row],[Изпитани]]&lt;&gt;0,MAZLS[[#This Row],[Изпитващ]]=0)*1</f>
        <v>0</v>
      </c>
      <c r="F92" s="315">
        <f>IFERROR(VLOOKUP(MAZLS[[#This Row],[Език]],Коефициент_Eзик[],2,0),0)</f>
        <v>1</v>
      </c>
      <c r="G92" s="314">
        <f>IFERROR(IF(MAZLS[[#This Row],[Студенти]]&gt;=6,1,VLOOKUP(MAZLS[[#This Row],[Студенти]],RdukciaChasove[],2,0)),0)</f>
        <v>0</v>
      </c>
      <c r="H92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2" s="861">
        <v>0.5</v>
      </c>
      <c r="J92" s="880">
        <f>N(MAZLS[[#This Row],[ТО]])*MAZLS[[#This Row],[кTO]]</f>
        <v>0</v>
      </c>
      <c r="K92" s="314">
        <f>MAZLS[[#This Row],[Изпитани]]*MAZLS[[#This Row],[кИзпитващ]]</f>
        <v>0</v>
      </c>
      <c r="L92" s="314">
        <f>MAZLS[[#This Row],[Лекции]]*MAZLS[[#This Row],[кЕзик]]*MAZLS[[#This Row],[кСтудент]]*кЛекции</f>
        <v>0</v>
      </c>
      <c r="M92" s="314">
        <f>MAZLS[[#This Row],[Упражнения]]*MAZLS[[#This Row],[кЕзик]]*MAZLS[[#This Row],[кСтудент]]*кУпражнение</f>
        <v>0</v>
      </c>
      <c r="N92" s="787" t="s">
        <v>691</v>
      </c>
      <c r="O92" s="788" t="s">
        <v>691</v>
      </c>
      <c r="P92" s="789" t="s">
        <v>691</v>
      </c>
      <c r="Q92" s="790"/>
      <c r="R92" s="796"/>
      <c r="S92" s="789"/>
      <c r="T92" s="333"/>
      <c r="U92" s="332"/>
      <c r="V92" s="330"/>
      <c r="W92" s="795" t="s">
        <v>84</v>
      </c>
      <c r="X92" s="796" t="s">
        <v>691</v>
      </c>
      <c r="Y92" s="789" t="s">
        <v>691</v>
      </c>
      <c r="Z92" s="331"/>
      <c r="AA92" s="332"/>
      <c r="AB92" s="330"/>
    </row>
    <row r="93" spans="2:28" s="47" customFormat="1" x14ac:dyDescent="0.3">
      <c r="B93" s="294">
        <f t="shared" si="3"/>
        <v>14</v>
      </c>
      <c r="C93" s="314">
        <f t="array" ref="C93">AND(LEN(MAZLS[[#This Row],[Дисциплина]]&amp;MAZLS[[#This Row],[Магистърска програма]]&amp;MAZLS[[#This Row],[Факултет]])&gt;0,MAZLS[[#This Row],[Вид]]&lt;&gt;{"З";"И";"Ф"})*1</f>
        <v>0</v>
      </c>
      <c r="D93" s="314">
        <f>AND(MAZLS[[#This Row],[Дисциплина]]&lt;&gt;0,OR(MAZLS[[#This Row],[Лекции]]&lt;&gt;0,MAZLS[[#This Row],[Упражнения]]&lt;&gt;0),MAZLS[[#This Row],[Студенти]]=0)*1</f>
        <v>0</v>
      </c>
      <c r="E93" s="314">
        <f>AND(MAZLS[[#This Row],[Изпитани]]&lt;&gt;0,MAZLS[[#This Row],[Изпитващ]]=0)*1</f>
        <v>0</v>
      </c>
      <c r="F93" s="315">
        <f>IFERROR(VLOOKUP(MAZLS[[#This Row],[Език]],Коефициент_Eзик[],2,0),0)</f>
        <v>1</v>
      </c>
      <c r="G93" s="314">
        <f>IFERROR(IF(MAZLS[[#This Row],[Студенти]]&gt;=6,1,VLOOKUP(MAZLS[[#This Row],[Студенти]],RdukciaChasove[],2,0)),0)</f>
        <v>0</v>
      </c>
      <c r="H93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3" s="861">
        <v>0.5</v>
      </c>
      <c r="J93" s="880">
        <f>N(MAZLS[[#This Row],[ТО]])*MAZLS[[#This Row],[кTO]]</f>
        <v>0</v>
      </c>
      <c r="K93" s="314">
        <f>MAZLS[[#This Row],[Изпитани]]*MAZLS[[#This Row],[кИзпитващ]]</f>
        <v>0</v>
      </c>
      <c r="L93" s="314">
        <f>MAZLS[[#This Row],[Лекции]]*MAZLS[[#This Row],[кЕзик]]*MAZLS[[#This Row],[кСтудент]]*кЛекции</f>
        <v>0</v>
      </c>
      <c r="M93" s="314">
        <f>MAZLS[[#This Row],[Упражнения]]*MAZLS[[#This Row],[кЕзик]]*MAZLS[[#This Row],[кСтудент]]*кУпражнение</f>
        <v>0</v>
      </c>
      <c r="N93" s="787" t="s">
        <v>691</v>
      </c>
      <c r="O93" s="788" t="s">
        <v>691</v>
      </c>
      <c r="P93" s="789" t="s">
        <v>691</v>
      </c>
      <c r="Q93" s="790"/>
      <c r="R93" s="796"/>
      <c r="S93" s="789"/>
      <c r="T93" s="333"/>
      <c r="U93" s="332"/>
      <c r="V93" s="330"/>
      <c r="W93" s="795" t="s">
        <v>84</v>
      </c>
      <c r="X93" s="796" t="s">
        <v>691</v>
      </c>
      <c r="Y93" s="789" t="s">
        <v>691</v>
      </c>
      <c r="Z93" s="331"/>
      <c r="AA93" s="332"/>
      <c r="AB93" s="330"/>
    </row>
    <row r="94" spans="2:28" s="47" customFormat="1" x14ac:dyDescent="0.3">
      <c r="B94" s="294">
        <f t="shared" si="3"/>
        <v>15</v>
      </c>
      <c r="C94" s="314">
        <f t="array" ref="C94">AND(LEN(MAZLS[[#This Row],[Дисциплина]]&amp;MAZLS[[#This Row],[Магистърска програма]]&amp;MAZLS[[#This Row],[Факултет]])&gt;0,MAZLS[[#This Row],[Вид]]&lt;&gt;{"З";"И";"Ф"})*1</f>
        <v>0</v>
      </c>
      <c r="D94" s="314">
        <f>AND(MAZLS[[#This Row],[Дисциплина]]&lt;&gt;0,OR(MAZLS[[#This Row],[Лекции]]&lt;&gt;0,MAZLS[[#This Row],[Упражнения]]&lt;&gt;0),MAZLS[[#This Row],[Студенти]]=0)*1</f>
        <v>0</v>
      </c>
      <c r="E94" s="314">
        <f>AND(MAZLS[[#This Row],[Изпитани]]&lt;&gt;0,MAZLS[[#This Row],[Изпитващ]]=0)*1</f>
        <v>0</v>
      </c>
      <c r="F94" s="315">
        <f>IFERROR(VLOOKUP(MAZLS[[#This Row],[Език]],Коефициент_Eзик[],2,0),0)</f>
        <v>1</v>
      </c>
      <c r="G94" s="314">
        <f>IFERROR(IF(MAZLS[[#This Row],[Студенти]]&gt;=6,1,VLOOKUP(MAZLS[[#This Row],[Студенти]],RdukciaChasove[],2,0)),0)</f>
        <v>0</v>
      </c>
      <c r="H94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4" s="861">
        <v>0.5</v>
      </c>
      <c r="J94" s="880">
        <f>N(MAZLS[[#This Row],[ТО]])*MAZLS[[#This Row],[кTO]]</f>
        <v>0</v>
      </c>
      <c r="K94" s="314">
        <f>MAZLS[[#This Row],[Изпитани]]*MAZLS[[#This Row],[кИзпитващ]]</f>
        <v>0</v>
      </c>
      <c r="L94" s="314">
        <f>MAZLS[[#This Row],[Лекции]]*MAZLS[[#This Row],[кЕзик]]*MAZLS[[#This Row],[кСтудент]]*кЛекции</f>
        <v>0</v>
      </c>
      <c r="M94" s="314">
        <f>MAZLS[[#This Row],[Упражнения]]*MAZLS[[#This Row],[кЕзик]]*MAZLS[[#This Row],[кСтудент]]*кУпражнение</f>
        <v>0</v>
      </c>
      <c r="N94" s="787" t="s">
        <v>691</v>
      </c>
      <c r="O94" s="788" t="s">
        <v>691</v>
      </c>
      <c r="P94" s="789" t="s">
        <v>691</v>
      </c>
      <c r="Q94" s="790"/>
      <c r="R94" s="796"/>
      <c r="S94" s="789"/>
      <c r="T94" s="333"/>
      <c r="U94" s="332"/>
      <c r="V94" s="330"/>
      <c r="W94" s="795" t="s">
        <v>84</v>
      </c>
      <c r="X94" s="796" t="s">
        <v>691</v>
      </c>
      <c r="Y94" s="789" t="s">
        <v>691</v>
      </c>
      <c r="Z94" s="331"/>
      <c r="AA94" s="332"/>
      <c r="AB94" s="330"/>
    </row>
    <row r="95" spans="2:28" s="47" customFormat="1" x14ac:dyDescent="0.3">
      <c r="B95" s="294">
        <f t="shared" si="3"/>
        <v>16</v>
      </c>
      <c r="C95" s="314">
        <f t="array" ref="C95">AND(LEN(MAZLS[[#This Row],[Дисциплина]]&amp;MAZLS[[#This Row],[Магистърска програма]]&amp;MAZLS[[#This Row],[Факултет]])&gt;0,MAZLS[[#This Row],[Вид]]&lt;&gt;{"З";"И";"Ф"})*1</f>
        <v>0</v>
      </c>
      <c r="D95" s="314">
        <f>AND(MAZLS[[#This Row],[Дисциплина]]&lt;&gt;0,OR(MAZLS[[#This Row],[Лекции]]&lt;&gt;0,MAZLS[[#This Row],[Упражнения]]&lt;&gt;0),MAZLS[[#This Row],[Студенти]]=0)*1</f>
        <v>0</v>
      </c>
      <c r="E95" s="314">
        <f>AND(MAZLS[[#This Row],[Изпитани]]&lt;&gt;0,MAZLS[[#This Row],[Изпитващ]]=0)*1</f>
        <v>0</v>
      </c>
      <c r="F95" s="315">
        <f>IFERROR(VLOOKUP(MAZLS[[#This Row],[Език]],Коефициент_Eзик[],2,0),0)</f>
        <v>1</v>
      </c>
      <c r="G95" s="314">
        <f>IFERROR(IF(MAZLS[[#This Row],[Студенти]]&gt;=6,1,VLOOKUP(MAZLS[[#This Row],[Студенти]],RdukciaChasove[],2,0)),0)</f>
        <v>0</v>
      </c>
      <c r="H95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5" s="861">
        <v>0.5</v>
      </c>
      <c r="J95" s="880">
        <f>N(MAZLS[[#This Row],[ТО]])*MAZLS[[#This Row],[кTO]]</f>
        <v>0</v>
      </c>
      <c r="K95" s="314">
        <f>MAZLS[[#This Row],[Изпитани]]*MAZLS[[#This Row],[кИзпитващ]]</f>
        <v>0</v>
      </c>
      <c r="L95" s="314">
        <f>MAZLS[[#This Row],[Лекции]]*MAZLS[[#This Row],[кЕзик]]*MAZLS[[#This Row],[кСтудент]]*кЛекции</f>
        <v>0</v>
      </c>
      <c r="M95" s="314">
        <f>MAZLS[[#This Row],[Упражнения]]*MAZLS[[#This Row],[кЕзик]]*MAZLS[[#This Row],[кСтудент]]*кУпражнение</f>
        <v>0</v>
      </c>
      <c r="N95" s="787" t="s">
        <v>691</v>
      </c>
      <c r="O95" s="788" t="s">
        <v>691</v>
      </c>
      <c r="P95" s="789" t="s">
        <v>691</v>
      </c>
      <c r="Q95" s="790"/>
      <c r="R95" s="796"/>
      <c r="S95" s="789"/>
      <c r="T95" s="333"/>
      <c r="U95" s="332"/>
      <c r="V95" s="330"/>
      <c r="W95" s="795" t="s">
        <v>84</v>
      </c>
      <c r="X95" s="796" t="s">
        <v>691</v>
      </c>
      <c r="Y95" s="789" t="s">
        <v>691</v>
      </c>
      <c r="Z95" s="331"/>
      <c r="AA95" s="332"/>
      <c r="AB95" s="330"/>
    </row>
    <row r="96" spans="2:28" s="47" customFormat="1" x14ac:dyDescent="0.3">
      <c r="B96" s="294">
        <f t="shared" si="3"/>
        <v>17</v>
      </c>
      <c r="C96" s="314">
        <f t="array" ref="C96">AND(LEN(MAZLS[[#This Row],[Дисциплина]]&amp;MAZLS[[#This Row],[Магистърска програма]]&amp;MAZLS[[#This Row],[Факултет]])&gt;0,MAZLS[[#This Row],[Вид]]&lt;&gt;{"З";"И";"Ф"})*1</f>
        <v>0</v>
      </c>
      <c r="D96" s="314">
        <f>AND(MAZLS[[#This Row],[Дисциплина]]&lt;&gt;0,OR(MAZLS[[#This Row],[Лекции]]&lt;&gt;0,MAZLS[[#This Row],[Упражнения]]&lt;&gt;0),MAZLS[[#This Row],[Студенти]]=0)*1</f>
        <v>0</v>
      </c>
      <c r="E96" s="314">
        <f>AND(MAZLS[[#This Row],[Изпитани]]&lt;&gt;0,MAZLS[[#This Row],[Изпитващ]]=0)*1</f>
        <v>0</v>
      </c>
      <c r="F96" s="315">
        <f>IFERROR(VLOOKUP(MAZLS[[#This Row],[Език]],Коефициент_Eзик[],2,0),0)</f>
        <v>1</v>
      </c>
      <c r="G96" s="314">
        <f>IFERROR(IF(MAZLS[[#This Row],[Студенти]]&gt;=6,1,VLOOKUP(MAZLS[[#This Row],[Студенти]],RdukciaChasove[],2,0)),0)</f>
        <v>0</v>
      </c>
      <c r="H96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6" s="861">
        <v>0.5</v>
      </c>
      <c r="J96" s="880">
        <f>N(MAZLS[[#This Row],[ТО]])*MAZLS[[#This Row],[кTO]]</f>
        <v>0</v>
      </c>
      <c r="K96" s="314">
        <f>MAZLS[[#This Row],[Изпитани]]*MAZLS[[#This Row],[кИзпитващ]]</f>
        <v>0</v>
      </c>
      <c r="L96" s="314">
        <f>MAZLS[[#This Row],[Лекции]]*MAZLS[[#This Row],[кЕзик]]*MAZLS[[#This Row],[кСтудент]]*кЛекции</f>
        <v>0</v>
      </c>
      <c r="M96" s="314">
        <f>MAZLS[[#This Row],[Упражнения]]*MAZLS[[#This Row],[кЕзик]]*MAZLS[[#This Row],[кСтудент]]*кУпражнение</f>
        <v>0</v>
      </c>
      <c r="N96" s="787" t="s">
        <v>691</v>
      </c>
      <c r="O96" s="788" t="s">
        <v>691</v>
      </c>
      <c r="P96" s="789" t="s">
        <v>691</v>
      </c>
      <c r="Q96" s="790"/>
      <c r="R96" s="796"/>
      <c r="S96" s="789"/>
      <c r="T96" s="333"/>
      <c r="U96" s="332"/>
      <c r="V96" s="330"/>
      <c r="W96" s="795" t="s">
        <v>84</v>
      </c>
      <c r="X96" s="796" t="s">
        <v>691</v>
      </c>
      <c r="Y96" s="789" t="s">
        <v>691</v>
      </c>
      <c r="Z96" s="331"/>
      <c r="AA96" s="332"/>
      <c r="AB96" s="330"/>
    </row>
    <row r="97" spans="2:31" s="47" customFormat="1" x14ac:dyDescent="0.3">
      <c r="B97" s="294">
        <f t="shared" si="3"/>
        <v>18</v>
      </c>
      <c r="C97" s="314">
        <f t="array" ref="C97">AND(LEN(MAZLS[[#This Row],[Дисциплина]]&amp;MAZLS[[#This Row],[Магистърска програма]]&amp;MAZLS[[#This Row],[Факултет]])&gt;0,MAZLS[[#This Row],[Вид]]&lt;&gt;{"З";"И";"Ф"})*1</f>
        <v>0</v>
      </c>
      <c r="D97" s="314">
        <f>AND(MAZLS[[#This Row],[Дисциплина]]&lt;&gt;0,OR(MAZLS[[#This Row],[Лекции]]&lt;&gt;0,MAZLS[[#This Row],[Упражнения]]&lt;&gt;0),MAZLS[[#This Row],[Студенти]]=0)*1</f>
        <v>0</v>
      </c>
      <c r="E97" s="314">
        <f>AND(MAZLS[[#This Row],[Изпитани]]&lt;&gt;0,MAZLS[[#This Row],[Изпитващ]]=0)*1</f>
        <v>0</v>
      </c>
      <c r="F97" s="315">
        <f>IFERROR(VLOOKUP(MAZLS[[#This Row],[Език]],Коефициент_Eзик[],2,0),0)</f>
        <v>1</v>
      </c>
      <c r="G97" s="314">
        <f>IFERROR(IF(MAZLS[[#This Row],[Студенти]]&gt;=6,1,VLOOKUP(MAZLS[[#This Row],[Студенти]],RdukciaChasove[],2,0)),0)</f>
        <v>0</v>
      </c>
      <c r="H97" s="314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7" s="861">
        <v>0.5</v>
      </c>
      <c r="J97" s="880">
        <f>N(MAZLS[[#This Row],[ТО]])*MAZLS[[#This Row],[кTO]]</f>
        <v>0</v>
      </c>
      <c r="K97" s="314">
        <f>MAZLS[[#This Row],[Изпитани]]*MAZLS[[#This Row],[кИзпитващ]]</f>
        <v>0</v>
      </c>
      <c r="L97" s="314">
        <f>MAZLS[[#This Row],[Лекции]]*MAZLS[[#This Row],[кЕзик]]*MAZLS[[#This Row],[кСтудент]]*кЛекции</f>
        <v>0</v>
      </c>
      <c r="M97" s="314">
        <f>MAZLS[[#This Row],[Упражнения]]*MAZLS[[#This Row],[кЕзик]]*MAZLS[[#This Row],[кСтудент]]*кУпражнение</f>
        <v>0</v>
      </c>
      <c r="N97" s="787" t="s">
        <v>691</v>
      </c>
      <c r="O97" s="788" t="s">
        <v>691</v>
      </c>
      <c r="P97" s="789" t="s">
        <v>691</v>
      </c>
      <c r="Q97" s="790"/>
      <c r="R97" s="796"/>
      <c r="S97" s="789"/>
      <c r="T97" s="333"/>
      <c r="U97" s="332"/>
      <c r="V97" s="330"/>
      <c r="W97" s="795" t="s">
        <v>84</v>
      </c>
      <c r="X97" s="796" t="s">
        <v>691</v>
      </c>
      <c r="Y97" s="789" t="s">
        <v>691</v>
      </c>
      <c r="Z97" s="331"/>
      <c r="AA97" s="332"/>
      <c r="AB97" s="330"/>
    </row>
    <row r="98" spans="2:31" s="47" customFormat="1" ht="17.25" thickBot="1" x14ac:dyDescent="0.35">
      <c r="B98" s="294">
        <f t="shared" si="3"/>
        <v>19</v>
      </c>
      <c r="C98" s="314">
        <f t="array" ref="C98">AND(LEN(MAZLS[[#This Row],[Дисциплина]]&amp;MAZLS[[#This Row],[Магистърска програма]]&amp;MAZLS[[#This Row],[Факултет]])&gt;0,MAZLS[[#This Row],[Вид]]&lt;&gt;{"З";"И";"Ф"})*1</f>
        <v>0</v>
      </c>
      <c r="D98" s="314">
        <f>AND(MAZLS[[#This Row],[Дисциплина]]&lt;&gt;0,OR(MAZLS[[#This Row],[Лекции]]&lt;&gt;0,MAZLS[[#This Row],[Упражнения]]&lt;&gt;0),MAZLS[[#This Row],[Студенти]]=0)*1</f>
        <v>0</v>
      </c>
      <c r="E98" s="314">
        <f>AND(MAZLS[[#This Row],[Изпитани]]&lt;&gt;0,MAZLS[[#This Row],[Изпитващ]]=0)*1</f>
        <v>0</v>
      </c>
      <c r="F98" s="320">
        <f>IFERROR(VLOOKUP(MAZLS[[#This Row],[Език]],Коефициент_Eзик[],2,0),0)</f>
        <v>1</v>
      </c>
      <c r="G98" s="321">
        <f>IFERROR(IF(MAZLS[[#This Row],[Студенти]]&gt;=6,1,VLOOKUP(MAZLS[[#This Row],[Студенти]],RdukciaChasove[],2,0)),0)</f>
        <v>0</v>
      </c>
      <c r="H98" s="321">
        <f>IFERROR(IF(MAZLS[[#This Row],[Изпитващ]]=0,0,IF(AND('1. Планд'!$B$6=list!$A$11,MAZLS[[#This Row],[ФормаОц]]=list!$A$66),Coef!$B$8,VLOOKUP(MAZLS[[#This Row],[Изпитващ]],Koef.ocenqvane[],2,0))),0)</f>
        <v>0</v>
      </c>
      <c r="I98" s="863">
        <v>0.5</v>
      </c>
      <c r="J98" s="880">
        <f>N(MAZLS[[#This Row],[ТО]])*MAZLS[[#This Row],[кTO]]</f>
        <v>0</v>
      </c>
      <c r="K98" s="314">
        <f>MAZLS[[#This Row],[Изпитани]]*MAZLS[[#This Row],[кИзпитващ]]</f>
        <v>0</v>
      </c>
      <c r="L98" s="314">
        <f>MAZLS[[#This Row],[Лекции]]*MAZLS[[#This Row],[кЕзик]]*MAZLS[[#This Row],[кСтудент]]*кЛекции</f>
        <v>0</v>
      </c>
      <c r="M98" s="314">
        <f>MAZLS[[#This Row],[Упражнения]]*MAZLS[[#This Row],[кЕзик]]*MAZLS[[#This Row],[кСтудент]]*кУпражнение</f>
        <v>0</v>
      </c>
      <c r="N98" s="791" t="s">
        <v>691</v>
      </c>
      <c r="O98" s="792" t="s">
        <v>691</v>
      </c>
      <c r="P98" s="793" t="s">
        <v>691</v>
      </c>
      <c r="Q98" s="794"/>
      <c r="R98" s="798"/>
      <c r="S98" s="789"/>
      <c r="T98" s="333"/>
      <c r="U98" s="336"/>
      <c r="V98" s="334"/>
      <c r="W98" s="797" t="s">
        <v>84</v>
      </c>
      <c r="X98" s="798" t="s">
        <v>691</v>
      </c>
      <c r="Y98" s="793" t="s">
        <v>691</v>
      </c>
      <c r="Z98" s="335"/>
      <c r="AA98" s="336"/>
      <c r="AB98" s="334"/>
    </row>
    <row r="99" spans="2:31" s="45" customFormat="1" ht="9.9499999999999993" customHeight="1" x14ac:dyDescent="0.3">
      <c r="B99" s="132" t="s">
        <v>417</v>
      </c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2:31" s="45" customFormat="1" ht="26.25" customHeight="1" x14ac:dyDescent="0.3">
      <c r="B100" s="216" t="s">
        <v>420</v>
      </c>
      <c r="M100" s="121">
        <f>IF($M$74,2,"2.2")</f>
        <v>2</v>
      </c>
      <c r="N100" s="1623" t="str">
        <f>M100&amp;". ОКС ""магистър"" след придобита образователно-квалификационна степен на висшето образование – практики и курсови работи – ЛЕТЕН семестър"</f>
        <v>2. ОКС "магистър" след придобита образователно-квалификационна степен на висшето образование – практики и курсови работи – ЛЕТЕН семестър</v>
      </c>
      <c r="O100" s="1624"/>
      <c r="P100" s="1624"/>
      <c r="Q100" s="1624"/>
      <c r="R100" s="1624"/>
      <c r="S100" s="1624"/>
      <c r="T100" s="1624"/>
      <c r="U100" s="1624"/>
      <c r="V100" s="1624"/>
      <c r="W100" s="1624"/>
      <c r="X100" s="1624"/>
      <c r="Y100" s="1624"/>
      <c r="Z100" s="1624"/>
      <c r="AA100" s="1624"/>
      <c r="AB100" s="1625"/>
    </row>
    <row r="101" spans="2:31" ht="21" customHeight="1" thickBot="1" x14ac:dyDescent="0.35">
      <c r="B101" s="131" t="s">
        <v>477</v>
      </c>
      <c r="M101" s="221"/>
      <c r="N101" s="1666" t="str">
        <f>"(За дейностите, описани в таблиците, предвидени за учебни практики и курсови работи в учебния план.)"</f>
        <v>(За дейностите, описани в таблиците, предвидени за учебни практики и курсови работи в учебния план.)</v>
      </c>
      <c r="O101" s="1667"/>
      <c r="P101" s="1667"/>
      <c r="Q101" s="1667"/>
      <c r="R101" s="1667"/>
      <c r="S101" s="1667"/>
      <c r="T101" s="1667"/>
      <c r="U101" s="1667"/>
      <c r="V101" s="1667"/>
      <c r="W101" s="1667"/>
      <c r="X101" s="1667"/>
      <c r="Y101" s="1667"/>
      <c r="Z101" s="1667"/>
      <c r="AA101" s="1667"/>
      <c r="AB101" s="1668"/>
    </row>
    <row r="102" spans="2:31" s="50" customFormat="1" ht="21" thickBot="1" x14ac:dyDescent="0.35">
      <c r="B102" s="131" t="s">
        <v>418</v>
      </c>
      <c r="C102" s="41"/>
      <c r="D102" s="41"/>
      <c r="E102" s="41"/>
      <c r="F102" s="41"/>
      <c r="G102" s="41"/>
      <c r="N102" s="1550" t="s">
        <v>22</v>
      </c>
      <c r="O102" s="1552" t="s">
        <v>472</v>
      </c>
      <c r="P102" s="1561" t="s">
        <v>18</v>
      </c>
      <c r="Q102" s="1550" t="s">
        <v>19</v>
      </c>
      <c r="R102" s="1552" t="s">
        <v>20</v>
      </c>
      <c r="S102" s="1555" t="s">
        <v>569</v>
      </c>
      <c r="T102" s="1557" t="str">
        <f>T77</f>
        <v>Студенти
бр.</v>
      </c>
      <c r="U102" s="1615" t="s">
        <v>558</v>
      </c>
      <c r="V102" s="1590"/>
      <c r="W102" s="1616"/>
      <c r="X102" s="1552" t="s">
        <v>474</v>
      </c>
      <c r="Y102" s="1561" t="s">
        <v>312</v>
      </c>
      <c r="Z102" s="1550" t="s">
        <v>335</v>
      </c>
      <c r="AA102" s="1552"/>
      <c r="AB102" s="1555"/>
      <c r="AC102" s="41"/>
      <c r="AD102" s="41"/>
      <c r="AE102" s="41"/>
    </row>
    <row r="103" spans="2:31" s="50" customFormat="1" ht="26.25" thickBot="1" x14ac:dyDescent="0.35">
      <c r="B103" s="131" t="s">
        <v>419</v>
      </c>
      <c r="C103" s="41"/>
      <c r="D103" s="1544" t="s">
        <v>575</v>
      </c>
      <c r="E103" s="1611"/>
      <c r="F103" s="1545"/>
      <c r="G103" s="1544" t="s">
        <v>316</v>
      </c>
      <c r="H103" s="1545"/>
      <c r="I103" s="1544" t="s">
        <v>313</v>
      </c>
      <c r="J103" s="1545"/>
      <c r="K103" s="1665" t="s">
        <v>339</v>
      </c>
      <c r="L103" s="1618"/>
      <c r="M103" s="1619"/>
      <c r="N103" s="1551"/>
      <c r="O103" s="1553"/>
      <c r="P103" s="1562"/>
      <c r="Q103" s="1551"/>
      <c r="R103" s="1553"/>
      <c r="S103" s="1556"/>
      <c r="T103" s="1622"/>
      <c r="U103" s="476" t="s">
        <v>557</v>
      </c>
      <c r="V103" s="915" t="s">
        <v>792</v>
      </c>
      <c r="W103" s="478" t="s">
        <v>793</v>
      </c>
      <c r="X103" s="1553"/>
      <c r="Y103" s="1562"/>
      <c r="Z103" s="271" t="s">
        <v>330</v>
      </c>
      <c r="AA103" s="272" t="s">
        <v>331</v>
      </c>
      <c r="AB103" s="273" t="s">
        <v>394</v>
      </c>
      <c r="AC103" s="41"/>
      <c r="AD103" s="41"/>
      <c r="AE103" s="41"/>
    </row>
    <row r="104" spans="2:31" ht="21" hidden="1" customHeight="1" thickBot="1" x14ac:dyDescent="0.35">
      <c r="B104" s="132" t="s">
        <v>425</v>
      </c>
      <c r="D104" s="489" t="s">
        <v>585</v>
      </c>
      <c r="E104" s="145" t="s">
        <v>576</v>
      </c>
      <c r="F104" s="147" t="s">
        <v>626</v>
      </c>
      <c r="G104" s="149" t="s">
        <v>395</v>
      </c>
      <c r="H104" s="151" t="s">
        <v>338</v>
      </c>
      <c r="I104" s="149" t="s">
        <v>396</v>
      </c>
      <c r="J104" s="868" t="s">
        <v>336</v>
      </c>
      <c r="K104" s="145" t="s">
        <v>579</v>
      </c>
      <c r="L104" s="146" t="s">
        <v>392</v>
      </c>
      <c r="M104" s="881" t="s">
        <v>337</v>
      </c>
      <c r="N104" s="169" t="s">
        <v>22</v>
      </c>
      <c r="O104" s="164" t="s">
        <v>421</v>
      </c>
      <c r="P104" s="171" t="s">
        <v>18</v>
      </c>
      <c r="Q104" s="166" t="s">
        <v>19</v>
      </c>
      <c r="R104" s="166" t="s">
        <v>20</v>
      </c>
      <c r="S104" s="164" t="s">
        <v>630</v>
      </c>
      <c r="T104" s="169" t="s">
        <v>628</v>
      </c>
      <c r="U104" s="479" t="s">
        <v>578</v>
      </c>
      <c r="V104" s="480" t="s">
        <v>554</v>
      </c>
      <c r="W104" s="482" t="s">
        <v>571</v>
      </c>
      <c r="X104" s="538" t="s">
        <v>631</v>
      </c>
      <c r="Y104" s="539" t="s">
        <v>333</v>
      </c>
      <c r="Z104" s="164" t="s">
        <v>330</v>
      </c>
      <c r="AA104" s="164" t="s">
        <v>86</v>
      </c>
      <c r="AB104" s="164" t="s">
        <v>332</v>
      </c>
      <c r="AC104" s="45"/>
      <c r="AD104" s="45"/>
      <c r="AE104" s="45"/>
    </row>
    <row r="105" spans="2:31" x14ac:dyDescent="0.3">
      <c r="B105" s="294">
        <f t="shared" ref="B105:B114" si="4">N(B104)+1</f>
        <v>1</v>
      </c>
      <c r="D105" s="466">
        <f>IFERROR(MATCH(MPLS[[#This Row],[ВидПрактика]],T_Практики[Практика и курсова работа],0),0)</f>
        <v>0</v>
      </c>
      <c r="E105" s="459" t="str">
        <f>IF(MPLS[[#This Row],[пВидПрактика]],INDEX(T_Практики[Група],MPLS[[#This Row],[пВидПрактика]]),"-")</f>
        <v>-</v>
      </c>
      <c r="F105" s="472" t="str">
        <f>IF(MPLS[[#This Row],[пВидПрактика]],INDEX(T_Практики[Ден],MPLS[[#This Row],[пВидПрактика]])*2,"-")</f>
        <v>-</v>
      </c>
      <c r="G105" s="136">
        <f>AND(MPLS[[#This Row],[ТО]]&lt;&gt;0,MPLS[[#This Row],[ФормаОб]]=0)*1</f>
        <v>0</v>
      </c>
      <c r="H105" s="135">
        <f>AND(MPLS[[#This Row],[Изпитани]]&lt;&gt;0,MPLS[[#This Row],[Изпитващ]]=0)*1</f>
        <v>0</v>
      </c>
      <c r="I105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05" s="869">
        <v>0.5</v>
      </c>
      <c r="K105" s="47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05" s="471">
        <f>MPLS[[#This Row],[Изпитани]]*MPLS[[#This Row],[кИзпитващ]]</f>
        <v>0</v>
      </c>
      <c r="M105" s="882">
        <f>N(MPLS[[#This Row],[ТО]])*MPLS[[#This Row],[кTO]]</f>
        <v>0</v>
      </c>
      <c r="N105" s="696" t="s">
        <v>691</v>
      </c>
      <c r="O105" s="697" t="s">
        <v>691</v>
      </c>
      <c r="P105" s="699" t="s">
        <v>691</v>
      </c>
      <c r="Q105" s="700" t="s">
        <v>691</v>
      </c>
      <c r="R105" s="700" t="s">
        <v>691</v>
      </c>
      <c r="S105" s="700" t="s">
        <v>691</v>
      </c>
      <c r="T105" s="306"/>
      <c r="U105" s="691" t="s">
        <v>691</v>
      </c>
      <c r="V105" s="486"/>
      <c r="W105" s="483"/>
      <c r="X105" s="700" t="s">
        <v>691</v>
      </c>
      <c r="Y105" s="699" t="s">
        <v>691</v>
      </c>
      <c r="Z105" s="355"/>
      <c r="AA105" s="355"/>
      <c r="AB105" s="355"/>
      <c r="AC105" s="45"/>
      <c r="AD105" s="45"/>
      <c r="AE105" s="45"/>
    </row>
    <row r="106" spans="2:31" x14ac:dyDescent="0.3">
      <c r="B106" s="294">
        <f t="shared" si="4"/>
        <v>2</v>
      </c>
      <c r="D106" s="466">
        <f>IFERROR(MATCH(MPLS[[#This Row],[ВидПрактика]],T_Практики[Практика и курсова работа],0),0)</f>
        <v>0</v>
      </c>
      <c r="E106" s="459" t="str">
        <f>IF(MPLS[[#This Row],[пВидПрактика]],INDEX(T_Практики[Група],MPLS[[#This Row],[пВидПрактика]]),"-")</f>
        <v>-</v>
      </c>
      <c r="F106" s="462" t="str">
        <f>IF(MPLS[[#This Row],[пВидПрактика]],INDEX(T_Практики[Ден],MPLS[[#This Row],[пВидПрактика]])*2,"-")</f>
        <v>-</v>
      </c>
      <c r="G106" s="136">
        <f>AND(MPLS[[#This Row],[ТО]]&lt;&gt;0,MPLS[[#This Row],[ФормаОб]]=0)*1</f>
        <v>0</v>
      </c>
      <c r="H106" s="135">
        <f>AND(MPLS[[#This Row],[Изпитани]]&lt;&gt;0,MPLS[[#This Row],[Изпитващ]]=0)*1</f>
        <v>0</v>
      </c>
      <c r="I106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06" s="869">
        <v>0.5</v>
      </c>
      <c r="K106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06" s="464">
        <f>MPLS[[#This Row],[Изпитани]]*MPLS[[#This Row],[кИзпитващ]]</f>
        <v>0</v>
      </c>
      <c r="M106" s="883">
        <f>N(MPLS[[#This Row],[ТО]])*MPLS[[#This Row],[кTO]]</f>
        <v>0</v>
      </c>
      <c r="N106" s="696" t="s">
        <v>691</v>
      </c>
      <c r="O106" s="697" t="s">
        <v>691</v>
      </c>
      <c r="P106" s="699" t="s">
        <v>691</v>
      </c>
      <c r="Q106" s="700" t="s">
        <v>691</v>
      </c>
      <c r="R106" s="700" t="s">
        <v>691</v>
      </c>
      <c r="S106" s="700" t="s">
        <v>691</v>
      </c>
      <c r="T106" s="306"/>
      <c r="U106" s="692" t="s">
        <v>691</v>
      </c>
      <c r="V106" s="487"/>
      <c r="W106" s="484"/>
      <c r="X106" s="700" t="s">
        <v>691</v>
      </c>
      <c r="Y106" s="699" t="s">
        <v>691</v>
      </c>
      <c r="Z106" s="355"/>
      <c r="AA106" s="355"/>
      <c r="AB106" s="355"/>
      <c r="AC106" s="45"/>
      <c r="AD106" s="45"/>
      <c r="AE106" s="45"/>
    </row>
    <row r="107" spans="2:31" x14ac:dyDescent="0.3">
      <c r="B107" s="294">
        <f t="shared" si="4"/>
        <v>3</v>
      </c>
      <c r="D107" s="466">
        <f>IFERROR(MATCH(MPLS[[#This Row],[ВидПрактика]],T_Практики[Практика и курсова работа],0),0)</f>
        <v>0</v>
      </c>
      <c r="E107" s="459" t="str">
        <f>IF(MPLS[[#This Row],[пВидПрактика]],INDEX(T_Практики[Група],MPLS[[#This Row],[пВидПрактика]]),"-")</f>
        <v>-</v>
      </c>
      <c r="F107" s="462" t="str">
        <f>IF(MPLS[[#This Row],[пВидПрактика]],INDEX(T_Практики[Ден],MPLS[[#This Row],[пВидПрактика]])*2,"-")</f>
        <v>-</v>
      </c>
      <c r="G107" s="136">
        <f>AND(MPLS[[#This Row],[ТО]]&lt;&gt;0,MPLS[[#This Row],[ФормаОб]]=0)*1</f>
        <v>0</v>
      </c>
      <c r="H107" s="135">
        <f>AND(MPLS[[#This Row],[Изпитани]]&lt;&gt;0,MPLS[[#This Row],[Изпитващ]]=0)*1</f>
        <v>0</v>
      </c>
      <c r="I107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07" s="869">
        <v>0.5</v>
      </c>
      <c r="K107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07" s="464">
        <f>MPLS[[#This Row],[Изпитани]]*MPLS[[#This Row],[кИзпитващ]]</f>
        <v>0</v>
      </c>
      <c r="M107" s="883">
        <f>N(MPLS[[#This Row],[ТО]])*MPLS[[#This Row],[кTO]]</f>
        <v>0</v>
      </c>
      <c r="N107" s="696" t="s">
        <v>691</v>
      </c>
      <c r="O107" s="697" t="s">
        <v>691</v>
      </c>
      <c r="P107" s="699" t="s">
        <v>691</v>
      </c>
      <c r="Q107" s="700" t="s">
        <v>691</v>
      </c>
      <c r="R107" s="700" t="s">
        <v>691</v>
      </c>
      <c r="S107" s="700" t="s">
        <v>691</v>
      </c>
      <c r="T107" s="306"/>
      <c r="U107" s="692" t="s">
        <v>691</v>
      </c>
      <c r="V107" s="487"/>
      <c r="W107" s="484"/>
      <c r="X107" s="700" t="s">
        <v>691</v>
      </c>
      <c r="Y107" s="699" t="s">
        <v>691</v>
      </c>
      <c r="Z107" s="355"/>
      <c r="AA107" s="355"/>
      <c r="AB107" s="355"/>
      <c r="AC107" s="45"/>
      <c r="AD107" s="45"/>
      <c r="AE107" s="45"/>
    </row>
    <row r="108" spans="2:31" x14ac:dyDescent="0.3">
      <c r="B108" s="294">
        <f t="shared" si="4"/>
        <v>4</v>
      </c>
      <c r="D108" s="466">
        <f>IFERROR(MATCH(MPLS[[#This Row],[ВидПрактика]],T_Практики[Практика и курсова работа],0),0)</f>
        <v>0</v>
      </c>
      <c r="E108" s="459" t="str">
        <f>IF(MPLS[[#This Row],[пВидПрактика]],INDEX(T_Практики[Група],MPLS[[#This Row],[пВидПрактика]]),"-")</f>
        <v>-</v>
      </c>
      <c r="F108" s="462" t="str">
        <f>IF(MPLS[[#This Row],[пВидПрактика]],INDEX(T_Практики[Ден],MPLS[[#This Row],[пВидПрактика]])*2,"-")</f>
        <v>-</v>
      </c>
      <c r="G108" s="136">
        <f>AND(MPLS[[#This Row],[ТО]]&lt;&gt;0,MPLS[[#This Row],[ФормаОб]]=0)*1</f>
        <v>0</v>
      </c>
      <c r="H108" s="135">
        <f>AND(MPLS[[#This Row],[Изпитани]]&lt;&gt;0,MPLS[[#This Row],[Изпитващ]]=0)*1</f>
        <v>0</v>
      </c>
      <c r="I108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08" s="869">
        <v>0.5</v>
      </c>
      <c r="K108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08" s="464">
        <f>MPLS[[#This Row],[Изпитани]]*MPLS[[#This Row],[кИзпитващ]]</f>
        <v>0</v>
      </c>
      <c r="M108" s="883">
        <f>N(MPLS[[#This Row],[ТО]])*MPLS[[#This Row],[кTO]]</f>
        <v>0</v>
      </c>
      <c r="N108" s="696" t="s">
        <v>691</v>
      </c>
      <c r="O108" s="697" t="s">
        <v>691</v>
      </c>
      <c r="P108" s="699" t="s">
        <v>691</v>
      </c>
      <c r="Q108" s="700" t="s">
        <v>691</v>
      </c>
      <c r="R108" s="700" t="s">
        <v>691</v>
      </c>
      <c r="S108" s="700" t="s">
        <v>691</v>
      </c>
      <c r="T108" s="306"/>
      <c r="U108" s="692" t="s">
        <v>691</v>
      </c>
      <c r="V108" s="487"/>
      <c r="W108" s="484"/>
      <c r="X108" s="700" t="s">
        <v>691</v>
      </c>
      <c r="Y108" s="699" t="s">
        <v>691</v>
      </c>
      <c r="Z108" s="355"/>
      <c r="AA108" s="355"/>
      <c r="AB108" s="355"/>
      <c r="AC108" s="45"/>
      <c r="AD108" s="45"/>
      <c r="AE108" s="45"/>
    </row>
    <row r="109" spans="2:31" x14ac:dyDescent="0.3">
      <c r="B109" s="294">
        <f t="shared" si="4"/>
        <v>5</v>
      </c>
      <c r="D109" s="466">
        <f>IFERROR(MATCH(MPLS[[#This Row],[ВидПрактика]],T_Практики[Практика и курсова работа],0),0)</f>
        <v>0</v>
      </c>
      <c r="E109" s="459" t="str">
        <f>IF(MPLS[[#This Row],[пВидПрактика]],INDEX(T_Практики[Група],MPLS[[#This Row],[пВидПрактика]]),"-")</f>
        <v>-</v>
      </c>
      <c r="F109" s="462" t="str">
        <f>IF(MPLS[[#This Row],[пВидПрактика]],INDEX(T_Практики[Ден],MPLS[[#This Row],[пВидПрактика]])*2,"-")</f>
        <v>-</v>
      </c>
      <c r="G109" s="136">
        <f>AND(MPLS[[#This Row],[ТО]]&lt;&gt;0,MPLS[[#This Row],[ФормаОб]]=0)*1</f>
        <v>0</v>
      </c>
      <c r="H109" s="135">
        <f>AND(MPLS[[#This Row],[Изпитани]]&lt;&gt;0,MPLS[[#This Row],[Изпитващ]]=0)*1</f>
        <v>0</v>
      </c>
      <c r="I109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09" s="869">
        <v>0.5</v>
      </c>
      <c r="K109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09" s="464">
        <f>MPLS[[#This Row],[Изпитани]]*MPLS[[#This Row],[кИзпитващ]]</f>
        <v>0</v>
      </c>
      <c r="M109" s="883">
        <f>N(MPLS[[#This Row],[ТО]])*MPLS[[#This Row],[кTO]]</f>
        <v>0</v>
      </c>
      <c r="N109" s="696" t="s">
        <v>691</v>
      </c>
      <c r="O109" s="697" t="s">
        <v>691</v>
      </c>
      <c r="P109" s="699" t="s">
        <v>691</v>
      </c>
      <c r="Q109" s="700" t="s">
        <v>691</v>
      </c>
      <c r="R109" s="700" t="s">
        <v>691</v>
      </c>
      <c r="S109" s="700" t="s">
        <v>691</v>
      </c>
      <c r="T109" s="306"/>
      <c r="U109" s="692" t="s">
        <v>691</v>
      </c>
      <c r="V109" s="487"/>
      <c r="W109" s="484"/>
      <c r="X109" s="700" t="s">
        <v>691</v>
      </c>
      <c r="Y109" s="699" t="s">
        <v>691</v>
      </c>
      <c r="Z109" s="355"/>
      <c r="AA109" s="355"/>
      <c r="AB109" s="355"/>
      <c r="AC109" s="45"/>
      <c r="AD109" s="45"/>
      <c r="AE109" s="45"/>
    </row>
    <row r="110" spans="2:31" s="50" customFormat="1" x14ac:dyDescent="0.3">
      <c r="B110" s="294">
        <f t="shared" si="4"/>
        <v>6</v>
      </c>
      <c r="D110" s="466">
        <f>IFERROR(MATCH(MPLS[[#This Row],[ВидПрактика]],T_Практики[Практика и курсова работа],0),0)</f>
        <v>0</v>
      </c>
      <c r="E110" s="459" t="str">
        <f>IF(MPLS[[#This Row],[пВидПрактика]],INDEX(T_Практики[Група],MPLS[[#This Row],[пВидПрактика]]),"-")</f>
        <v>-</v>
      </c>
      <c r="F110" s="462" t="str">
        <f>IF(MPLS[[#This Row],[пВидПрактика]],INDEX(T_Практики[Ден],MPLS[[#This Row],[пВидПрактика]])*2,"-")</f>
        <v>-</v>
      </c>
      <c r="G110" s="136">
        <f>AND(MPLS[[#This Row],[ТО]]&lt;&gt;0,MPLS[[#This Row],[ФормаОб]]=0)*1</f>
        <v>0</v>
      </c>
      <c r="H110" s="135">
        <f>AND(MPLS[[#This Row],[Изпитани]]&lt;&gt;0,MPLS[[#This Row],[Изпитващ]]=0)*1</f>
        <v>0</v>
      </c>
      <c r="I110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10" s="869">
        <v>0.5</v>
      </c>
      <c r="K110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10" s="464">
        <f>MPLS[[#This Row],[Изпитани]]*MPLS[[#This Row],[кИзпитващ]]</f>
        <v>0</v>
      </c>
      <c r="M110" s="883">
        <f>N(MPLS[[#This Row],[ТО]])*MPLS[[#This Row],[кTO]]</f>
        <v>0</v>
      </c>
      <c r="N110" s="696" t="s">
        <v>691</v>
      </c>
      <c r="O110" s="697" t="s">
        <v>691</v>
      </c>
      <c r="P110" s="699" t="s">
        <v>691</v>
      </c>
      <c r="Q110" s="700" t="s">
        <v>691</v>
      </c>
      <c r="R110" s="700" t="s">
        <v>691</v>
      </c>
      <c r="S110" s="700" t="s">
        <v>691</v>
      </c>
      <c r="T110" s="337"/>
      <c r="U110" s="692" t="s">
        <v>691</v>
      </c>
      <c r="V110" s="487"/>
      <c r="W110" s="484"/>
      <c r="X110" s="700" t="s">
        <v>691</v>
      </c>
      <c r="Y110" s="699" t="s">
        <v>691</v>
      </c>
      <c r="Z110" s="355"/>
      <c r="AA110" s="355"/>
      <c r="AB110" s="355"/>
      <c r="AC110" s="48"/>
      <c r="AD110" s="48"/>
      <c r="AE110" s="48"/>
    </row>
    <row r="111" spans="2:31" s="50" customFormat="1" x14ac:dyDescent="0.3">
      <c r="B111" s="294">
        <f t="shared" si="4"/>
        <v>7</v>
      </c>
      <c r="D111" s="466">
        <f>IFERROR(MATCH(MPLS[[#This Row],[ВидПрактика]],T_Практики[Практика и курсова работа],0),0)</f>
        <v>0</v>
      </c>
      <c r="E111" s="459" t="str">
        <f>IF(MPLS[[#This Row],[пВидПрактика]],INDEX(T_Практики[Група],MPLS[[#This Row],[пВидПрактика]]),"-")</f>
        <v>-</v>
      </c>
      <c r="F111" s="462" t="str">
        <f>IF(MPLS[[#This Row],[пВидПрактика]],INDEX(T_Практики[Ден],MPLS[[#This Row],[пВидПрактика]])*2,"-")</f>
        <v>-</v>
      </c>
      <c r="G111" s="136">
        <f>AND(MPLS[[#This Row],[ТО]]&lt;&gt;0,MPLS[[#This Row],[ФормаОб]]=0)*1</f>
        <v>0</v>
      </c>
      <c r="H111" s="135">
        <f>AND(MPLS[[#This Row],[Изпитани]]&lt;&gt;0,MPLS[[#This Row],[Изпитващ]]=0)*1</f>
        <v>0</v>
      </c>
      <c r="I111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11" s="869">
        <v>0.5</v>
      </c>
      <c r="K111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11" s="464">
        <f>MPLS[[#This Row],[Изпитани]]*MPLS[[#This Row],[кИзпитващ]]</f>
        <v>0</v>
      </c>
      <c r="M111" s="883">
        <f>N(MPLS[[#This Row],[ТО]])*MPLS[[#This Row],[кTO]]</f>
        <v>0</v>
      </c>
      <c r="N111" s="696" t="s">
        <v>691</v>
      </c>
      <c r="O111" s="697" t="s">
        <v>691</v>
      </c>
      <c r="P111" s="699" t="s">
        <v>691</v>
      </c>
      <c r="Q111" s="700" t="s">
        <v>691</v>
      </c>
      <c r="R111" s="700" t="s">
        <v>691</v>
      </c>
      <c r="S111" s="700" t="s">
        <v>691</v>
      </c>
      <c r="T111" s="337"/>
      <c r="U111" s="692" t="s">
        <v>691</v>
      </c>
      <c r="V111" s="487"/>
      <c r="W111" s="484"/>
      <c r="X111" s="700" t="s">
        <v>691</v>
      </c>
      <c r="Y111" s="699" t="s">
        <v>691</v>
      </c>
      <c r="Z111" s="355"/>
      <c r="AA111" s="355"/>
      <c r="AB111" s="355"/>
      <c r="AC111" s="48"/>
      <c r="AD111" s="48"/>
      <c r="AE111" s="48"/>
    </row>
    <row r="112" spans="2:31" s="50" customFormat="1" x14ac:dyDescent="0.3">
      <c r="B112" s="294">
        <f t="shared" si="4"/>
        <v>8</v>
      </c>
      <c r="D112" s="466">
        <f>IFERROR(MATCH(MPLS[[#This Row],[ВидПрактика]],T_Практики[Практика и курсова работа],0),0)</f>
        <v>0</v>
      </c>
      <c r="E112" s="459" t="str">
        <f>IF(MPLS[[#This Row],[пВидПрактика]],INDEX(T_Практики[Група],MPLS[[#This Row],[пВидПрактика]]),"-")</f>
        <v>-</v>
      </c>
      <c r="F112" s="462" t="str">
        <f>IF(MPLS[[#This Row],[пВидПрактика]],INDEX(T_Практики[Ден],MPLS[[#This Row],[пВидПрактика]])*2,"-")</f>
        <v>-</v>
      </c>
      <c r="G112" s="136">
        <f>AND(MPLS[[#This Row],[ТО]]&lt;&gt;0,MPLS[[#This Row],[ФормаОб]]=0)*1</f>
        <v>0</v>
      </c>
      <c r="H112" s="135">
        <f>AND(MPLS[[#This Row],[Изпитани]]&lt;&gt;0,MPLS[[#This Row],[Изпитващ]]=0)*1</f>
        <v>0</v>
      </c>
      <c r="I112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12" s="869">
        <v>0.5</v>
      </c>
      <c r="K112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12" s="464">
        <f>MPLS[[#This Row],[Изпитани]]*MPLS[[#This Row],[кИзпитващ]]</f>
        <v>0</v>
      </c>
      <c r="M112" s="883">
        <f>N(MPLS[[#This Row],[ТО]])*MPLS[[#This Row],[кTO]]</f>
        <v>0</v>
      </c>
      <c r="N112" s="696" t="s">
        <v>691</v>
      </c>
      <c r="O112" s="697" t="s">
        <v>691</v>
      </c>
      <c r="P112" s="699" t="s">
        <v>691</v>
      </c>
      <c r="Q112" s="700" t="s">
        <v>691</v>
      </c>
      <c r="R112" s="700" t="s">
        <v>691</v>
      </c>
      <c r="S112" s="700" t="s">
        <v>691</v>
      </c>
      <c r="T112" s="337"/>
      <c r="U112" s="692" t="s">
        <v>691</v>
      </c>
      <c r="V112" s="487"/>
      <c r="W112" s="484"/>
      <c r="X112" s="700" t="s">
        <v>691</v>
      </c>
      <c r="Y112" s="699" t="s">
        <v>691</v>
      </c>
      <c r="Z112" s="355"/>
      <c r="AA112" s="355"/>
      <c r="AB112" s="355"/>
      <c r="AC112" s="48"/>
      <c r="AD112" s="48"/>
      <c r="AE112" s="48"/>
    </row>
    <row r="113" spans="2:31" s="50" customFormat="1" x14ac:dyDescent="0.3">
      <c r="B113" s="294">
        <f t="shared" si="4"/>
        <v>9</v>
      </c>
      <c r="D113" s="466">
        <f>IFERROR(MATCH(MPLS[[#This Row],[ВидПрактика]],T_Практики[Практика и курсова работа],0),0)</f>
        <v>0</v>
      </c>
      <c r="E113" s="459" t="str">
        <f>IF(MPLS[[#This Row],[пВидПрактика]],INDEX(T_Практики[Група],MPLS[[#This Row],[пВидПрактика]]),"-")</f>
        <v>-</v>
      </c>
      <c r="F113" s="462" t="str">
        <f>IF(MPLS[[#This Row],[пВидПрактика]],INDEX(T_Практики[Ден],MPLS[[#This Row],[пВидПрактика]])*2,"-")</f>
        <v>-</v>
      </c>
      <c r="G113" s="136">
        <f>AND(MPLS[[#This Row],[ТО]]&lt;&gt;0,MPLS[[#This Row],[ФормаОб]]=0)*1</f>
        <v>0</v>
      </c>
      <c r="H113" s="135">
        <f>AND(MPLS[[#This Row],[Изпитани]]&lt;&gt;0,MPLS[[#This Row],[Изпитващ]]=0)*1</f>
        <v>0</v>
      </c>
      <c r="I113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13" s="869">
        <v>0.5</v>
      </c>
      <c r="K113" s="460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13" s="464">
        <f>MPLS[[#This Row],[Изпитани]]*MPLS[[#This Row],[кИзпитващ]]</f>
        <v>0</v>
      </c>
      <c r="M113" s="883">
        <f>N(MPLS[[#This Row],[ТО]])*MPLS[[#This Row],[кTO]]</f>
        <v>0</v>
      </c>
      <c r="N113" s="696" t="s">
        <v>691</v>
      </c>
      <c r="O113" s="697" t="s">
        <v>691</v>
      </c>
      <c r="P113" s="699" t="s">
        <v>691</v>
      </c>
      <c r="Q113" s="700" t="s">
        <v>691</v>
      </c>
      <c r="R113" s="700" t="s">
        <v>691</v>
      </c>
      <c r="S113" s="700" t="s">
        <v>691</v>
      </c>
      <c r="T113" s="337"/>
      <c r="U113" s="692" t="s">
        <v>691</v>
      </c>
      <c r="V113" s="487"/>
      <c r="W113" s="484"/>
      <c r="X113" s="700" t="s">
        <v>691</v>
      </c>
      <c r="Y113" s="699" t="s">
        <v>691</v>
      </c>
      <c r="Z113" s="355"/>
      <c r="AA113" s="355"/>
      <c r="AB113" s="355"/>
      <c r="AC113" s="48"/>
      <c r="AD113" s="48"/>
      <c r="AE113" s="48"/>
    </row>
    <row r="114" spans="2:31" s="50" customFormat="1" ht="17.25" thickBot="1" x14ac:dyDescent="0.35">
      <c r="B114" s="294">
        <f t="shared" si="4"/>
        <v>10</v>
      </c>
      <c r="D114" s="475">
        <f>IFERROR(MATCH(MPLS[[#This Row],[ВидПрактика]],T_Практики[Практика и курсова работа],0),0)</f>
        <v>0</v>
      </c>
      <c r="E114" s="467" t="str">
        <f>IF(MPLS[[#This Row],[пВидПрактика]],INDEX(T_Практики[Група],MPLS[[#This Row],[пВидПрактика]]),"-")</f>
        <v>-</v>
      </c>
      <c r="F114" s="463" t="str">
        <f>IF(MPLS[[#This Row],[пВидПрактика]],INDEX(T_Практики[Ден],MPLS[[#This Row],[пВидПрактика]])*2,"-")</f>
        <v>-</v>
      </c>
      <c r="G114" s="136">
        <f>AND(MPLS[[#This Row],[ТО]]&lt;&gt;0,MPLS[[#This Row],[ФормаОб]]=0)*1</f>
        <v>0</v>
      </c>
      <c r="H114" s="135">
        <f>AND(MPLS[[#This Row],[Изпитани]]&lt;&gt;0,MPLS[[#This Row],[Изпитващ]]=0)*1</f>
        <v>0</v>
      </c>
      <c r="I114" s="136">
        <f>IFERROR(IF(MPLS[[#This Row],[Изпитващ]]=0,0,IF(AND('1. Планд'!$B$6=list!$A$11,MPLS[[#This Row],[ФормаОц]]=list!$A$66),Coef!$B$8,VLOOKUP(MPLS[[#This Row],[Изпитващ]],Koef.ocenqvane[],2,0))),0)</f>
        <v>0</v>
      </c>
      <c r="J114" s="869">
        <v>0.5</v>
      </c>
      <c r="K114" s="461">
        <f>IF(MPLS[[#This Row],[пВидПрактика]]&gt;0,INDEX(T_Практики[Час],MPLS[[#This Row],[пВидПрактика]])*CHOOSE(MPLS[[#This Row],[уфГрупа]]+MPLS[[#This Row],[уфДен]]+1,0,N(MPLS[[#This Row],[Група]]),N(MPLS[[#This Row],[Ден]]),N(MPLS[[#This Row],[Група]])*N(MPLS[[#This Row],[Ден]])),0)</f>
        <v>0</v>
      </c>
      <c r="L114" s="465">
        <f>MPLS[[#This Row],[Изпитани]]*MPLS[[#This Row],[кИзпитващ]]</f>
        <v>0</v>
      </c>
      <c r="M114" s="884">
        <f>N(MPLS[[#This Row],[ТО]])*MPLS[[#This Row],[кTO]]</f>
        <v>0</v>
      </c>
      <c r="N114" s="799" t="s">
        <v>691</v>
      </c>
      <c r="O114" s="800" t="s">
        <v>691</v>
      </c>
      <c r="P114" s="730" t="s">
        <v>691</v>
      </c>
      <c r="Q114" s="700" t="s">
        <v>691</v>
      </c>
      <c r="R114" s="700" t="s">
        <v>691</v>
      </c>
      <c r="S114" s="700" t="s">
        <v>691</v>
      </c>
      <c r="T114" s="338"/>
      <c r="U114" s="693" t="s">
        <v>691</v>
      </c>
      <c r="V114" s="488"/>
      <c r="W114" s="485"/>
      <c r="X114" s="729" t="s">
        <v>691</v>
      </c>
      <c r="Y114" s="730" t="s">
        <v>691</v>
      </c>
      <c r="Z114" s="355"/>
      <c r="AA114" s="355"/>
      <c r="AB114" s="355"/>
      <c r="AC114" s="48"/>
      <c r="AD114" s="48"/>
      <c r="AE114" s="48"/>
    </row>
    <row r="115" spans="2:31" s="57" customFormat="1" ht="9.9499999999999993" customHeight="1" x14ac:dyDescent="0.25">
      <c r="B115" s="132" t="s">
        <v>417</v>
      </c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 s="156"/>
      <c r="AA115" s="156"/>
      <c r="AB115" s="156"/>
    </row>
    <row r="116" spans="2:31" s="45" customFormat="1" ht="27.75" thickBot="1" x14ac:dyDescent="0.35">
      <c r="B116" s="130" t="s">
        <v>420</v>
      </c>
      <c r="M116" s="41">
        <f>IF($M$74,3,"2.3")</f>
        <v>3</v>
      </c>
      <c r="N116" s="1636" t="str">
        <f>M116&amp;". ОКС ""магистър"" след придобита ОКС – дипломиране – ЛЕТЕН семестър"</f>
        <v>3. ОКС "магистър" след придобита ОКС – дипломиране – ЛЕТЕН семестър</v>
      </c>
      <c r="O116" s="1636"/>
      <c r="P116" s="1636"/>
      <c r="Q116" s="1636"/>
      <c r="R116" s="1636"/>
      <c r="S116" s="290"/>
    </row>
    <row r="117" spans="2:31" s="45" customFormat="1" ht="20.25" x14ac:dyDescent="0.3">
      <c r="B117" s="131" t="s">
        <v>418</v>
      </c>
      <c r="N117" s="1680" t="s">
        <v>17</v>
      </c>
      <c r="O117" s="1678" t="s">
        <v>18</v>
      </c>
      <c r="P117" s="1524" t="s">
        <v>335</v>
      </c>
      <c r="Q117" s="1525"/>
      <c r="R117" s="1526"/>
    </row>
    <row r="118" spans="2:31" s="45" customFormat="1" ht="27.75" customHeight="1" thickBot="1" x14ac:dyDescent="0.35">
      <c r="B118" s="131" t="s">
        <v>419</v>
      </c>
      <c r="M118" s="155"/>
      <c r="N118" s="1681"/>
      <c r="O118" s="1679"/>
      <c r="P118" s="279" t="s">
        <v>397</v>
      </c>
      <c r="Q118" s="280" t="s">
        <v>398</v>
      </c>
      <c r="R118" s="281" t="s">
        <v>399</v>
      </c>
      <c r="U118"/>
    </row>
    <row r="119" spans="2:31" ht="20.25" hidden="1" x14ac:dyDescent="0.3">
      <c r="B119" s="131" t="s">
        <v>425</v>
      </c>
      <c r="N119" s="164" t="s">
        <v>17</v>
      </c>
      <c r="O119" s="164" t="s">
        <v>18</v>
      </c>
      <c r="P119" s="169" t="s">
        <v>362</v>
      </c>
      <c r="Q119" s="164" t="s">
        <v>398</v>
      </c>
      <c r="R119" s="170" t="s">
        <v>629</v>
      </c>
      <c r="S119" s="45"/>
      <c r="T119" s="45"/>
      <c r="U119" s="45"/>
      <c r="V119" s="45"/>
      <c r="W119" s="45"/>
      <c r="X119" s="45"/>
      <c r="Y119" s="45"/>
      <c r="Z119" s="45"/>
      <c r="AA119" s="45"/>
      <c r="AB119" s="45"/>
    </row>
    <row r="120" spans="2:31" s="50" customFormat="1" x14ac:dyDescent="0.3">
      <c r="B120" s="294">
        <f>N(B119)+1</f>
        <v>1</v>
      </c>
      <c r="N120" s="697" t="s">
        <v>691</v>
      </c>
      <c r="O120" s="697" t="s">
        <v>691</v>
      </c>
      <c r="P120" s="356"/>
      <c r="Q120" s="355"/>
      <c r="R120" s="357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</row>
    <row r="121" spans="2:31" s="50" customFormat="1" x14ac:dyDescent="0.3">
      <c r="B121" s="294">
        <f>N(B120)+1</f>
        <v>2</v>
      </c>
      <c r="N121" s="697" t="s">
        <v>691</v>
      </c>
      <c r="O121" s="697" t="s">
        <v>691</v>
      </c>
      <c r="P121" s="356"/>
      <c r="Q121" s="355"/>
      <c r="R121" s="357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</row>
    <row r="122" spans="2:31" s="50" customFormat="1" ht="17.25" thickBot="1" x14ac:dyDescent="0.35">
      <c r="B122" s="294">
        <f>N(B121)+1</f>
        <v>3</v>
      </c>
      <c r="N122" s="697" t="s">
        <v>691</v>
      </c>
      <c r="O122" s="697" t="s">
        <v>691</v>
      </c>
      <c r="P122" s="358"/>
      <c r="Q122" s="359"/>
      <c r="R122" s="360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</row>
    <row r="123" spans="2:31" s="57" customFormat="1" ht="9.9499999999999993" customHeight="1" x14ac:dyDescent="0.25">
      <c r="B123" s="132" t="s">
        <v>417</v>
      </c>
      <c r="N123"/>
      <c r="O123"/>
      <c r="P123"/>
      <c r="Q123"/>
      <c r="R123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</row>
    <row r="124" spans="2:31" ht="25.5" x14ac:dyDescent="0.3">
      <c r="B124" s="216" t="s">
        <v>420</v>
      </c>
      <c r="M124" s="41">
        <f>IF(OR(M25,M74),4,3)</f>
        <v>4</v>
      </c>
      <c r="N124" s="1623" t="str">
        <f>M124&amp;". Слети четения и четения в поток"</f>
        <v>4. Слети четения и четения в поток</v>
      </c>
      <c r="O124" s="1624"/>
      <c r="P124" s="1624"/>
      <c r="Q124" s="1624"/>
      <c r="R124" s="1624"/>
      <c r="S124" s="1624"/>
      <c r="T124" s="1624"/>
      <c r="U124" s="1624"/>
      <c r="V124" s="1624"/>
      <c r="W124" s="1625"/>
      <c r="X124" s="290"/>
      <c r="Y124" s="45"/>
      <c r="Z124" s="45"/>
      <c r="AA124" s="45"/>
      <c r="AB124" s="45"/>
    </row>
    <row r="125" spans="2:31" ht="24" thickBot="1" x14ac:dyDescent="0.35">
      <c r="B125" s="131" t="s">
        <v>477</v>
      </c>
      <c r="M125" s="220"/>
      <c r="N125" s="1671" t="s">
        <v>476</v>
      </c>
      <c r="O125" s="1672"/>
      <c r="P125" s="1672"/>
      <c r="Q125" s="1672"/>
      <c r="R125" s="1672"/>
      <c r="S125" s="1672"/>
      <c r="T125" s="1672"/>
      <c r="U125" s="1672"/>
      <c r="V125" s="1672"/>
      <c r="W125" s="1673"/>
      <c r="X125" s="45"/>
      <c r="Y125" s="45"/>
      <c r="Z125" s="45"/>
      <c r="AA125" s="45"/>
      <c r="AB125" s="45"/>
    </row>
    <row r="126" spans="2:31" ht="20.25" x14ac:dyDescent="0.3">
      <c r="B126" s="131" t="s">
        <v>418</v>
      </c>
      <c r="N126" s="1529" t="s">
        <v>16</v>
      </c>
      <c r="O126" s="1531" t="s">
        <v>158</v>
      </c>
      <c r="P126" s="1674" t="s">
        <v>17</v>
      </c>
      <c r="Q126" s="1676" t="s">
        <v>18</v>
      </c>
      <c r="R126" s="1529" t="s">
        <v>19</v>
      </c>
      <c r="S126" s="1531" t="s">
        <v>20</v>
      </c>
      <c r="T126" s="1536" t="s">
        <v>569</v>
      </c>
      <c r="U126" s="1529" t="s">
        <v>400</v>
      </c>
      <c r="V126" s="1691"/>
      <c r="W126" s="1669" t="s">
        <v>136</v>
      </c>
      <c r="Y126" s="45"/>
      <c r="Z126" s="45"/>
      <c r="AA126" s="45"/>
      <c r="AB126" s="45"/>
    </row>
    <row r="127" spans="2:31" ht="21" thickBot="1" x14ac:dyDescent="0.35">
      <c r="B127" s="131" t="s">
        <v>419</v>
      </c>
      <c r="N127" s="1530"/>
      <c r="O127" s="1532"/>
      <c r="P127" s="1675"/>
      <c r="Q127" s="1677"/>
      <c r="R127" s="1530"/>
      <c r="S127" s="1532"/>
      <c r="T127" s="1537"/>
      <c r="U127" s="282" t="s">
        <v>401</v>
      </c>
      <c r="V127" s="283" t="s">
        <v>402</v>
      </c>
      <c r="W127" s="1670"/>
    </row>
    <row r="128" spans="2:31" ht="20.25" hidden="1" x14ac:dyDescent="0.3">
      <c r="B128" s="131" t="s">
        <v>425</v>
      </c>
      <c r="N128" s="164" t="s">
        <v>16</v>
      </c>
      <c r="O128" s="164" t="s">
        <v>676</v>
      </c>
      <c r="P128" s="164" t="s">
        <v>17</v>
      </c>
      <c r="Q128" s="164" t="s">
        <v>18</v>
      </c>
      <c r="R128" s="169" t="s">
        <v>19</v>
      </c>
      <c r="S128" s="164" t="s">
        <v>20</v>
      </c>
      <c r="T128" s="170" t="s">
        <v>630</v>
      </c>
      <c r="U128" s="165" t="s">
        <v>401</v>
      </c>
      <c r="V128" s="165" t="s">
        <v>402</v>
      </c>
      <c r="W128" s="172" t="s">
        <v>136</v>
      </c>
      <c r="X128" s="45"/>
    </row>
    <row r="129" spans="2:30" x14ac:dyDescent="0.3">
      <c r="B129" s="294">
        <f t="shared" ref="B129:B141" si="5">N(B128)+1</f>
        <v>1</v>
      </c>
      <c r="H129" s="50"/>
      <c r="I129" s="50"/>
      <c r="J129" s="50"/>
      <c r="K129" s="50"/>
      <c r="L129" s="50"/>
      <c r="M129" s="50"/>
      <c r="N129" s="697" t="s">
        <v>691</v>
      </c>
      <c r="O129" s="697" t="s">
        <v>691</v>
      </c>
      <c r="P129" s="698" t="s">
        <v>691</v>
      </c>
      <c r="Q129" s="700" t="s">
        <v>691</v>
      </c>
      <c r="R129" s="727" t="s">
        <v>691</v>
      </c>
      <c r="S129" s="299"/>
      <c r="T129" s="699" t="s">
        <v>691</v>
      </c>
      <c r="U129" s="299"/>
      <c r="V129" s="299"/>
      <c r="W129" s="751" t="s">
        <v>691</v>
      </c>
      <c r="X129" s="48"/>
      <c r="Y129" s="45"/>
      <c r="Z129" s="45"/>
      <c r="AA129" s="45"/>
      <c r="AB129" s="45"/>
    </row>
    <row r="130" spans="2:30" s="50" customFormat="1" x14ac:dyDescent="0.3">
      <c r="B130" s="294">
        <f t="shared" si="5"/>
        <v>2</v>
      </c>
      <c r="N130" s="697" t="s">
        <v>691</v>
      </c>
      <c r="O130" s="697" t="s">
        <v>691</v>
      </c>
      <c r="P130" s="698" t="s">
        <v>691</v>
      </c>
      <c r="Q130" s="700" t="s">
        <v>691</v>
      </c>
      <c r="R130" s="727" t="s">
        <v>691</v>
      </c>
      <c r="S130" s="299"/>
      <c r="T130" s="699" t="s">
        <v>691</v>
      </c>
      <c r="U130" s="299"/>
      <c r="V130" s="299"/>
      <c r="W130" s="751" t="s">
        <v>691</v>
      </c>
      <c r="X130" s="48"/>
      <c r="Y130" s="48"/>
      <c r="Z130" s="48"/>
      <c r="AA130" s="48"/>
      <c r="AB130" s="48"/>
    </row>
    <row r="131" spans="2:30" s="50" customFormat="1" x14ac:dyDescent="0.3">
      <c r="B131" s="294">
        <f t="shared" si="5"/>
        <v>3</v>
      </c>
      <c r="N131" s="697" t="s">
        <v>691</v>
      </c>
      <c r="O131" s="697" t="s">
        <v>691</v>
      </c>
      <c r="P131" s="698" t="s">
        <v>691</v>
      </c>
      <c r="Q131" s="700" t="s">
        <v>691</v>
      </c>
      <c r="R131" s="727" t="s">
        <v>691</v>
      </c>
      <c r="S131" s="299"/>
      <c r="T131" s="699" t="s">
        <v>691</v>
      </c>
      <c r="U131" s="299"/>
      <c r="V131" s="299"/>
      <c r="W131" s="751" t="s">
        <v>691</v>
      </c>
      <c r="X131" s="48"/>
      <c r="Y131" s="48"/>
      <c r="Z131" s="48"/>
      <c r="AA131" s="48"/>
      <c r="AB131" s="48"/>
    </row>
    <row r="132" spans="2:30" s="50" customFormat="1" x14ac:dyDescent="0.3">
      <c r="B132" s="294">
        <f t="shared" si="5"/>
        <v>4</v>
      </c>
      <c r="N132" s="697" t="s">
        <v>691</v>
      </c>
      <c r="O132" s="697" t="s">
        <v>691</v>
      </c>
      <c r="P132" s="698" t="s">
        <v>691</v>
      </c>
      <c r="Q132" s="700" t="s">
        <v>691</v>
      </c>
      <c r="R132" s="727" t="s">
        <v>691</v>
      </c>
      <c r="S132" s="299"/>
      <c r="T132" s="699" t="s">
        <v>691</v>
      </c>
      <c r="U132" s="299"/>
      <c r="V132" s="299"/>
      <c r="W132" s="751" t="s">
        <v>691</v>
      </c>
      <c r="X132" s="48"/>
      <c r="Y132" s="48"/>
      <c r="Z132" s="48"/>
      <c r="AA132" s="48"/>
      <c r="AB132" s="48"/>
    </row>
    <row r="133" spans="2:30" s="50" customFormat="1" x14ac:dyDescent="0.3">
      <c r="B133" s="294">
        <f t="shared" si="5"/>
        <v>5</v>
      </c>
      <c r="N133" s="697" t="s">
        <v>691</v>
      </c>
      <c r="O133" s="697" t="s">
        <v>691</v>
      </c>
      <c r="P133" s="698" t="s">
        <v>691</v>
      </c>
      <c r="Q133" s="700" t="s">
        <v>691</v>
      </c>
      <c r="R133" s="727" t="s">
        <v>691</v>
      </c>
      <c r="S133" s="299"/>
      <c r="T133" s="699" t="s">
        <v>691</v>
      </c>
      <c r="U133" s="299"/>
      <c r="V133" s="299"/>
      <c r="W133" s="751" t="s">
        <v>691</v>
      </c>
      <c r="X133" s="48"/>
      <c r="Y133" s="48"/>
      <c r="Z133" s="48"/>
      <c r="AA133" s="48"/>
      <c r="AB133" s="48"/>
    </row>
    <row r="134" spans="2:30" s="50" customFormat="1" x14ac:dyDescent="0.3">
      <c r="B134" s="294">
        <f t="shared" si="5"/>
        <v>6</v>
      </c>
      <c r="N134" s="697" t="s">
        <v>691</v>
      </c>
      <c r="O134" s="697" t="s">
        <v>691</v>
      </c>
      <c r="P134" s="698" t="s">
        <v>691</v>
      </c>
      <c r="Q134" s="700" t="s">
        <v>691</v>
      </c>
      <c r="R134" s="727" t="s">
        <v>691</v>
      </c>
      <c r="S134" s="299"/>
      <c r="T134" s="699" t="s">
        <v>691</v>
      </c>
      <c r="U134" s="299"/>
      <c r="V134" s="299"/>
      <c r="W134" s="751" t="s">
        <v>691</v>
      </c>
      <c r="X134" s="48"/>
      <c r="Y134" s="48"/>
      <c r="Z134" s="48"/>
      <c r="AA134" s="48"/>
      <c r="AB134" s="48"/>
    </row>
    <row r="135" spans="2:30" s="50" customFormat="1" x14ac:dyDescent="0.3">
      <c r="B135" s="294">
        <f t="shared" si="5"/>
        <v>7</v>
      </c>
      <c r="N135" s="697" t="s">
        <v>691</v>
      </c>
      <c r="O135" s="697" t="s">
        <v>691</v>
      </c>
      <c r="P135" s="698" t="s">
        <v>691</v>
      </c>
      <c r="Q135" s="700" t="s">
        <v>691</v>
      </c>
      <c r="R135" s="727" t="s">
        <v>691</v>
      </c>
      <c r="S135" s="299"/>
      <c r="T135" s="699" t="s">
        <v>691</v>
      </c>
      <c r="U135" s="299"/>
      <c r="V135" s="299"/>
      <c r="W135" s="751" t="s">
        <v>691</v>
      </c>
      <c r="X135" s="48"/>
      <c r="Y135" s="48"/>
      <c r="Z135" s="48"/>
      <c r="AA135" s="48"/>
      <c r="AB135" s="48"/>
    </row>
    <row r="136" spans="2:30" s="50" customFormat="1" x14ac:dyDescent="0.3">
      <c r="B136" s="294">
        <f t="shared" si="5"/>
        <v>8</v>
      </c>
      <c r="N136" s="697" t="s">
        <v>691</v>
      </c>
      <c r="O136" s="697" t="s">
        <v>691</v>
      </c>
      <c r="P136" s="698" t="s">
        <v>691</v>
      </c>
      <c r="Q136" s="700" t="s">
        <v>691</v>
      </c>
      <c r="R136" s="727" t="s">
        <v>691</v>
      </c>
      <c r="S136" s="299"/>
      <c r="T136" s="699" t="s">
        <v>691</v>
      </c>
      <c r="U136" s="299"/>
      <c r="V136" s="299"/>
      <c r="W136" s="751" t="s">
        <v>691</v>
      </c>
      <c r="X136" s="48"/>
      <c r="Y136" s="48"/>
      <c r="Z136" s="48"/>
      <c r="AA136" s="48"/>
      <c r="AB136" s="48"/>
    </row>
    <row r="137" spans="2:30" s="50" customFormat="1" x14ac:dyDescent="0.3">
      <c r="B137" s="294">
        <f t="shared" si="5"/>
        <v>9</v>
      </c>
      <c r="N137" s="697" t="s">
        <v>691</v>
      </c>
      <c r="O137" s="697" t="s">
        <v>691</v>
      </c>
      <c r="P137" s="698" t="s">
        <v>691</v>
      </c>
      <c r="Q137" s="700" t="s">
        <v>691</v>
      </c>
      <c r="R137" s="727" t="s">
        <v>691</v>
      </c>
      <c r="S137" s="299"/>
      <c r="T137" s="699" t="s">
        <v>691</v>
      </c>
      <c r="U137" s="299"/>
      <c r="V137" s="299"/>
      <c r="W137" s="751" t="s">
        <v>691</v>
      </c>
      <c r="X137" s="48"/>
      <c r="Y137" s="48"/>
      <c r="Z137" s="48"/>
      <c r="AA137" s="48"/>
      <c r="AB137" s="48"/>
    </row>
    <row r="138" spans="2:30" s="50" customFormat="1" x14ac:dyDescent="0.3">
      <c r="B138" s="294">
        <f t="shared" si="5"/>
        <v>10</v>
      </c>
      <c r="N138" s="697" t="s">
        <v>691</v>
      </c>
      <c r="O138" s="697" t="s">
        <v>691</v>
      </c>
      <c r="P138" s="698" t="s">
        <v>691</v>
      </c>
      <c r="Q138" s="700" t="s">
        <v>691</v>
      </c>
      <c r="R138" s="727" t="s">
        <v>691</v>
      </c>
      <c r="S138" s="299"/>
      <c r="T138" s="699" t="s">
        <v>691</v>
      </c>
      <c r="U138" s="299"/>
      <c r="V138" s="299"/>
      <c r="W138" s="751" t="s">
        <v>691</v>
      </c>
      <c r="X138" s="48"/>
      <c r="Y138" s="48"/>
      <c r="Z138" s="48"/>
      <c r="AA138" s="48"/>
      <c r="AB138" s="48"/>
    </row>
    <row r="139" spans="2:30" s="50" customFormat="1" x14ac:dyDescent="0.3">
      <c r="B139" s="294">
        <f t="shared" si="5"/>
        <v>11</v>
      </c>
      <c r="N139" s="697" t="s">
        <v>691</v>
      </c>
      <c r="O139" s="697" t="s">
        <v>691</v>
      </c>
      <c r="P139" s="698" t="s">
        <v>691</v>
      </c>
      <c r="Q139" s="700" t="s">
        <v>691</v>
      </c>
      <c r="R139" s="727" t="s">
        <v>691</v>
      </c>
      <c r="S139" s="299"/>
      <c r="T139" s="699" t="s">
        <v>691</v>
      </c>
      <c r="U139" s="299"/>
      <c r="V139" s="299"/>
      <c r="W139" s="751" t="s">
        <v>691</v>
      </c>
      <c r="X139" s="48"/>
      <c r="Y139" s="48"/>
      <c r="Z139" s="48"/>
      <c r="AA139" s="48"/>
      <c r="AB139" s="48"/>
    </row>
    <row r="140" spans="2:30" s="50" customFormat="1" x14ac:dyDescent="0.3">
      <c r="B140" s="294">
        <f t="shared" si="5"/>
        <v>12</v>
      </c>
      <c r="N140" s="697" t="s">
        <v>691</v>
      </c>
      <c r="O140" s="697" t="s">
        <v>691</v>
      </c>
      <c r="P140" s="698" t="s">
        <v>691</v>
      </c>
      <c r="Q140" s="700" t="s">
        <v>691</v>
      </c>
      <c r="R140" s="727" t="s">
        <v>691</v>
      </c>
      <c r="S140" s="299"/>
      <c r="T140" s="699" t="s">
        <v>691</v>
      </c>
      <c r="U140" s="299"/>
      <c r="V140" s="299"/>
      <c r="W140" s="751" t="s">
        <v>691</v>
      </c>
      <c r="X140" s="48"/>
      <c r="Y140" s="48"/>
      <c r="Z140" s="48"/>
      <c r="AA140" s="48"/>
      <c r="AB140" s="48"/>
    </row>
    <row r="141" spans="2:30" s="50" customFormat="1" ht="17.25" thickBot="1" x14ac:dyDescent="0.35">
      <c r="B141" s="294">
        <f t="shared" si="5"/>
        <v>13</v>
      </c>
      <c r="N141" s="697" t="s">
        <v>691</v>
      </c>
      <c r="O141" s="697" t="s">
        <v>691</v>
      </c>
      <c r="P141" s="698" t="s">
        <v>691</v>
      </c>
      <c r="Q141" s="700" t="s">
        <v>691</v>
      </c>
      <c r="R141" s="728" t="s">
        <v>691</v>
      </c>
      <c r="S141" s="327"/>
      <c r="T141" s="730" t="s">
        <v>691</v>
      </c>
      <c r="U141" s="299"/>
      <c r="V141" s="299"/>
      <c r="W141" s="752" t="s">
        <v>691</v>
      </c>
      <c r="X141" s="48"/>
      <c r="Y141" s="48"/>
      <c r="Z141" s="48"/>
      <c r="AA141" s="48"/>
      <c r="AB141" s="48"/>
    </row>
    <row r="142" spans="2:30" s="50" customFormat="1" ht="20.25" x14ac:dyDescent="0.3">
      <c r="B142" s="132" t="s">
        <v>417</v>
      </c>
      <c r="H142" s="41"/>
      <c r="I142" s="41"/>
      <c r="J142" s="41"/>
      <c r="K142" s="41"/>
      <c r="L142" s="41"/>
      <c r="M142" s="41"/>
      <c r="N142"/>
      <c r="O142"/>
      <c r="P142"/>
      <c r="Q142"/>
      <c r="R142"/>
      <c r="S142"/>
      <c r="T142"/>
      <c r="U142"/>
      <c r="V142"/>
      <c r="W142"/>
      <c r="X142" s="41"/>
      <c r="Y142" s="48"/>
      <c r="Z142" s="48"/>
      <c r="AA142" s="48"/>
      <c r="AB142" s="48"/>
    </row>
    <row r="144" spans="2:30" x14ac:dyDescent="0.3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2:2" ht="20.25" x14ac:dyDescent="0.3">
      <c r="B145" s="131" t="s">
        <v>425</v>
      </c>
    </row>
  </sheetData>
  <sheetProtection algorithmName="SHA-512" hashValue="D6VYTqkALCIc6ZSPW0CQukA2TWs/fISnWrXBuYkbCYhUGndKIEWkyq3uUNIUq2SRkq4Jo49X8nV1hao0Hx/+Vw==" saltValue="Scncm53vsxk0rV9ujlq45g==" spinCount="100000" sheet="1" objects="1" scenarios="1" formatCells="0" formatRows="0"/>
  <mergeCells count="113">
    <mergeCell ref="D54:F54"/>
    <mergeCell ref="G54:H54"/>
    <mergeCell ref="I54:J54"/>
    <mergeCell ref="K54:M54"/>
    <mergeCell ref="N116:R116"/>
    <mergeCell ref="P102:P103"/>
    <mergeCell ref="Q102:Q103"/>
    <mergeCell ref="R102:R103"/>
    <mergeCell ref="S126:S127"/>
    <mergeCell ref="C78:E78"/>
    <mergeCell ref="F78:I78"/>
    <mergeCell ref="J78:M78"/>
    <mergeCell ref="S77:S78"/>
    <mergeCell ref="D103:F103"/>
    <mergeCell ref="N68:N69"/>
    <mergeCell ref="O68:O69"/>
    <mergeCell ref="N53:N54"/>
    <mergeCell ref="O53:O54"/>
    <mergeCell ref="P68:R68"/>
    <mergeCell ref="N75:AB75"/>
    <mergeCell ref="Z102:AB102"/>
    <mergeCell ref="Z77:AB77"/>
    <mergeCell ref="T126:T127"/>
    <mergeCell ref="U126:V126"/>
    <mergeCell ref="W126:W127"/>
    <mergeCell ref="P117:R117"/>
    <mergeCell ref="N125:W125"/>
    <mergeCell ref="N126:N127"/>
    <mergeCell ref="O126:O127"/>
    <mergeCell ref="P126:P127"/>
    <mergeCell ref="Q126:Q127"/>
    <mergeCell ref="R126:R127"/>
    <mergeCell ref="O117:O118"/>
    <mergeCell ref="N117:N118"/>
    <mergeCell ref="N124:W124"/>
    <mergeCell ref="T77:T78"/>
    <mergeCell ref="S102:S103"/>
    <mergeCell ref="T102:T103"/>
    <mergeCell ref="X102:X103"/>
    <mergeCell ref="Y102:Y103"/>
    <mergeCell ref="U77:V77"/>
    <mergeCell ref="G103:H103"/>
    <mergeCell ref="I103:J103"/>
    <mergeCell ref="N102:N103"/>
    <mergeCell ref="O102:O103"/>
    <mergeCell ref="X77:X78"/>
    <mergeCell ref="U102:W102"/>
    <mergeCell ref="K103:M103"/>
    <mergeCell ref="N77:N78"/>
    <mergeCell ref="O77:O78"/>
    <mergeCell ref="P77:P78"/>
    <mergeCell ref="Q77:Q78"/>
    <mergeCell ref="R77:R78"/>
    <mergeCell ref="Y77:Y78"/>
    <mergeCell ref="W77:W78"/>
    <mergeCell ref="N100:AB100"/>
    <mergeCell ref="N101:AB101"/>
    <mergeCell ref="C29:E29"/>
    <mergeCell ref="F29:I29"/>
    <mergeCell ref="J29:M29"/>
    <mergeCell ref="S28:S29"/>
    <mergeCell ref="T28:T29"/>
    <mergeCell ref="N28:N29"/>
    <mergeCell ref="O28:O29"/>
    <mergeCell ref="P28:P29"/>
    <mergeCell ref="Q28:Q29"/>
    <mergeCell ref="R28:R29"/>
    <mergeCell ref="N67:R67"/>
    <mergeCell ref="N76:AB76"/>
    <mergeCell ref="N9:AB9"/>
    <mergeCell ref="N10:AB10"/>
    <mergeCell ref="N15:AB15"/>
    <mergeCell ref="N14:AB14"/>
    <mergeCell ref="N13:AB13"/>
    <mergeCell ref="N7:AB7"/>
    <mergeCell ref="N11:AB11"/>
    <mergeCell ref="P53:P54"/>
    <mergeCell ref="Q53:Q54"/>
    <mergeCell ref="R53:R54"/>
    <mergeCell ref="Y28:Y29"/>
    <mergeCell ref="Z28:AB28"/>
    <mergeCell ref="U28:V28"/>
    <mergeCell ref="W28:W29"/>
    <mergeCell ref="U53:W53"/>
    <mergeCell ref="N12:AB12"/>
    <mergeCell ref="N19:AB19"/>
    <mergeCell ref="N16:AB16"/>
    <mergeCell ref="X28:X29"/>
    <mergeCell ref="N8:AB8"/>
    <mergeCell ref="N26:AB26"/>
    <mergeCell ref="N18:AB18"/>
    <mergeCell ref="S53:S54"/>
    <mergeCell ref="T53:T54"/>
    <mergeCell ref="X53:X54"/>
    <mergeCell ref="Y53:Y54"/>
    <mergeCell ref="Z53:AB53"/>
    <mergeCell ref="N51:AB51"/>
    <mergeCell ref="N52:AB52"/>
    <mergeCell ref="N1:AB1"/>
    <mergeCell ref="N2:AB2"/>
    <mergeCell ref="N3:AB3"/>
    <mergeCell ref="N27:AB27"/>
    <mergeCell ref="N17:AB17"/>
    <mergeCell ref="N22:AB22"/>
    <mergeCell ref="N21:AB21"/>
    <mergeCell ref="N20:AB20"/>
    <mergeCell ref="Q5:R5"/>
    <mergeCell ref="S5:T5"/>
    <mergeCell ref="V5:W5"/>
    <mergeCell ref="X5:Y5"/>
    <mergeCell ref="Z5:AA5"/>
    <mergeCell ref="N24:AB24"/>
    <mergeCell ref="N23:AB23"/>
  </mergeCells>
  <phoneticPr fontId="123" type="noConversion"/>
  <conditionalFormatting sqref="N8:N14 N18">
    <cfRule type="expression" dxfId="454" priority="46">
      <formula>"current"</formula>
    </cfRule>
  </conditionalFormatting>
  <conditionalFormatting sqref="N19">
    <cfRule type="expression" dxfId="453" priority="35">
      <formula>N19=CELL(mark)</formula>
    </cfRule>
  </conditionalFormatting>
  <conditionalFormatting sqref="N20:N21">
    <cfRule type="expression" dxfId="452" priority="34">
      <formula>N20=CELL(mark)</formula>
    </cfRule>
  </conditionalFormatting>
  <conditionalFormatting sqref="N15">
    <cfRule type="expression" dxfId="451" priority="27">
      <formula>N15=CELL(mark)</formula>
    </cfRule>
  </conditionalFormatting>
  <conditionalFormatting sqref="N17">
    <cfRule type="expression" dxfId="450" priority="26">
      <formula>N17=CELL(mark)</formula>
    </cfRule>
  </conditionalFormatting>
  <conditionalFormatting sqref="N22:N23">
    <cfRule type="expression" dxfId="449" priority="25">
      <formula>N22=CELL(mark)</formula>
    </cfRule>
  </conditionalFormatting>
  <conditionalFormatting sqref="N16">
    <cfRule type="expression" dxfId="448" priority="24">
      <formula>N16=CELL(mark)</formula>
    </cfRule>
  </conditionalFormatting>
  <conditionalFormatting sqref="W56:W65">
    <cfRule type="expression" dxfId="447" priority="12">
      <formula>AND(N(F56)&gt;0,W56=0)</formula>
    </cfRule>
    <cfRule type="expression" dxfId="446" priority="13">
      <formula>F56=0</formula>
    </cfRule>
  </conditionalFormatting>
  <conditionalFormatting sqref="V114 V56:V65">
    <cfRule type="expression" dxfId="445" priority="10">
      <formula>AND(N(E56)&gt;0,$V56=0)</formula>
    </cfRule>
    <cfRule type="expression" dxfId="444" priority="11">
      <formula>$E56=0</formula>
    </cfRule>
  </conditionalFormatting>
  <conditionalFormatting sqref="W113:W114">
    <cfRule type="expression" dxfId="443" priority="8">
      <formula>AND(F113=1,W113=0)</formula>
    </cfRule>
    <cfRule type="expression" dxfId="442" priority="9">
      <formula>F113=0</formula>
    </cfRule>
  </conditionalFormatting>
  <conditionalFormatting sqref="W105:W112">
    <cfRule type="expression" dxfId="441" priority="4">
      <formula>AND(N(F105)&gt;0,W105=0)</formula>
    </cfRule>
    <cfRule type="expression" dxfId="440" priority="5">
      <formula>F105=0</formula>
    </cfRule>
  </conditionalFormatting>
  <conditionalFormatting sqref="V105:V113">
    <cfRule type="expression" dxfId="439" priority="2">
      <formula>AND(N(E105)&gt;0,$V105=0)</formula>
    </cfRule>
    <cfRule type="expression" dxfId="438" priority="3">
      <formula>$E105=0</formula>
    </cfRule>
  </conditionalFormatting>
  <conditionalFormatting sqref="N24">
    <cfRule type="expression" dxfId="437" priority="1">
      <formula>N24=CELL(mark)</formula>
    </cfRule>
  </conditionalFormatting>
  <dataValidations count="6">
    <dataValidation type="decimal" operator="greaterThanOrEqual" allowBlank="1" showInputMessage="1" showErrorMessage="1" error="Въведете коректна стойност!" sqref="P71:R73 Z56:AB65 T56:T65 Z31:AB49 T31:T49 T105:T114 Z105:AB114 P120:R122" xr:uid="{295FEDEC-9B28-4FAA-8246-29A6E2D310E6}">
      <formula1>0</formula1>
    </dataValidation>
    <dataValidation type="list" operator="greaterThanOrEqual" allowBlank="1" showErrorMessage="1" error="Въведете коректна стойност!" sqref="U56:U65 U105:U114" xr:uid="{431EAC80-1D40-4281-AEA4-0D74ABEDC834}">
      <formula1>INDIRECT("T_Практики[Практика и курсова работа]")</formula1>
    </dataValidation>
    <dataValidation type="whole" operator="greaterThanOrEqual" allowBlank="1" showErrorMessage="1" errorTitle="Статус на вида практика!" error="За избраната практика се попълва само брой дни на проведената практика." sqref="V56:V65" xr:uid="{F78CAF1E-E863-4DE6-80E6-1BEBE1C3D652}">
      <formula1>IF(N(E56)&gt;0,1,1000)</formula1>
    </dataValidation>
    <dataValidation type="whole" operator="greaterThanOrEqual" allowBlank="1" showInputMessage="1" showErrorMessage="1" errorTitle="Статус на вида практика!" error="За избраната практика се попълва само брой групи на проведената практика." sqref="W56:W65" xr:uid="{5F60C8C6-1CCF-4AEA-B9A5-C0BFE0815A3E}">
      <formula1>IF(N(F56)&gt;0,1,1000)</formula1>
    </dataValidation>
    <dataValidation type="decimal" operator="greaterThanOrEqual" allowBlank="1" showInputMessage="1" showErrorMessage="1" sqref="Z80:AB98 U80:V98 T80:T98" xr:uid="{3C344773-CE42-4666-902D-0DCDA6A995F2}">
      <formula1>0</formula1>
    </dataValidation>
    <dataValidation type="decimal" operator="greaterThanOrEqual" allowBlank="1" showInputMessage="1" showErrorMessage="1" sqref="V105:V114 W105:W114" xr:uid="{D764AE72-639D-4658-8D9E-1EE05FEBC601}">
      <formula1>IF(N(E105)&gt;0,1,1000)</formula1>
    </dataValidation>
  </dataValidations>
  <hyperlinks>
    <hyperlink ref="P68" location="BMBrIzpitaniB" display="Брой изпитани" xr:uid="{00000000-0004-0000-0D00-000008000000}"/>
    <hyperlink ref="Q126" location="InstrukciaB" display="Факултет" xr:uid="{00000000-0004-0000-0D00-000009000000}"/>
    <hyperlink ref="P126" location="InstrukciaB" display="Специалност" xr:uid="{00000000-0004-0000-0D00-00000A000000}"/>
    <hyperlink ref="Z5" location="'2. ОКС &quot;бакалавър&quot;'!N7" tooltip="Инструкция" display="Инструкция" xr:uid="{FA2FEA72-AD79-4A06-BC8F-AE26C00353FC}"/>
    <hyperlink ref="P5" location="'3. ОКС &quot;магистър&quot;'!N24" tooltip="Зимен семестър" display="Зимен семестър" xr:uid="{B7859054-B7F0-47CF-8F85-5708F6894A1A}"/>
    <hyperlink ref="Q5" location="LetenSemestarB" tooltip="Летен семестър" display="Летен семестър" xr:uid="{474F27B3-FD1F-4B56-9897-EBE7E379934B}"/>
    <hyperlink ref="S5" location="ObPotokB" tooltip="Обучение в поток" display="Обучение в поток" xr:uid="{AABF5686-B37F-4777-92A5-80617FF88421}"/>
    <hyperlink ref="U5" location="'3. ОКС &quot;магистър&quot;'!N127" tooltip="ОКС &quot;бакалавър&quot;" display="ОКС &quot;бакалавър&quot;" xr:uid="{4EF4E201-94A3-40D8-9394-5D562881486D}"/>
    <hyperlink ref="V5" location="ONSDr" tooltip="ОНС &quot;доктор&quot;" display="ОНС &quot;доктор&quot;" xr:uid="{1A5B7FB0-276F-421F-A154-C8E7B6138573}"/>
    <hyperlink ref="O5" location="'1. Отчет'!B6" tooltip="Титулна страница" display="Титулна страница" xr:uid="{BA6FA83A-A83E-406A-9610-B0E283FE2083}"/>
    <hyperlink ref="AB5" r:id="rId1" tooltip="email: ipio@uni-sofia.bg" display="Помощ" xr:uid="{8DB1BAEE-25D3-4C0E-BB8F-5D579CC5949D}"/>
    <hyperlink ref="V5:W5" location="'4. ОНС &quot;доктор&quot;'!B21" tooltip="ОНС &quot;доктор&quot;" display="ОНС &quot;доктор&quot;" xr:uid="{FA225546-0165-4895-9A59-A20344E6CC36}"/>
    <hyperlink ref="Z5:AA5" location="'3. ОКС &quot;магистър&quot;'!N7" tooltip="Инструкция" display="Инструкция" xr:uid="{7B5BC50B-F810-47F9-B919-F23C78BE1453}"/>
    <hyperlink ref="Q5:R5" location="'3. ОКС &quot;магистър&quot;'!N73" tooltip="Летен семестър" display="Летен семестър" xr:uid="{DD5C2008-FF9B-4543-B1D4-A8F959D3983A}"/>
    <hyperlink ref="S5:T5" location="'3. ОКС &quot;магистър&quot;'!N122:N139" tooltip="Обучение в поток" display="Обучение в поток" xr:uid="{2703029C-A265-4A0F-BD6C-AE323891E935}"/>
    <hyperlink ref="X5:Y5" location="'5. Подготовка на курс'!B23" tooltip="Подготовка на курс" display="Подготовка на курс" xr:uid="{79C0F727-0234-4A5C-9700-DA6AAEC97285}"/>
  </hyperlinks>
  <printOptions horizontalCentered="1"/>
  <pageMargins left="0.27559055118110237" right="0.35433070866141736" top="0.31496062992125984" bottom="0.31496062992125984" header="0" footer="0.23622047244094491"/>
  <pageSetup paperSize="9" scale="62" orientation="landscape" r:id="rId2"/>
  <headerFooter>
    <oddFooter>&amp;RПодпис:...................................................................</oddFooter>
  </headerFooter>
  <ignoredErrors>
    <ignoredError sqref="G105:G114 L105 L106:L114 M51 F56:F65 F105:F114" unlockedFormula="1"/>
    <ignoredError sqref="P81:P98 X80:Y98 P105:Y114 O120:O122 Q129:W141" listDataValidation="1"/>
  </ignoredErrors>
  <drawing r:id="rId3"/>
  <tableParts count="8"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Въведете предвиденото по учебен план:_x000a_Изпит - изпит_x000a_ТО - текущо оценяване_x000a_КИ - комбинирано изпитване_x000a_прод. - продължава в следващ семестър" xr:uid="{F6F321B5-8467-4F9F-BB94-60EF3CEFA03A}">
          <x14:formula1>
            <xm:f>list!$A$64:$A$67</xm:f>
          </x14:formula1>
          <xm:sqref>X80:X98 X31:X49 X105:X114 X56:X65</xm:sqref>
        </x14:dataValidation>
        <x14:dataValidation type="list" allowBlank="1" showErrorMessage="1" errorTitle="Вид" error="Въведете З, И или Ф" xr:uid="{E88E6427-5D7E-454D-9667-3A05C2263C25}">
          <x14:formula1>
            <xm:f>list!$B$53:$B$55</xm:f>
          </x14:formula1>
          <xm:sqref>Q56:Q65 Q31:Q49 Q80:Q98 Q105:Q114 R129:R141</xm:sqref>
        </x14:dataValidation>
        <x14:dataValidation type="list" allowBlank="1" showInputMessage="1" showErrorMessage="1" error="Въведете титуляр или асистиращ!" xr:uid="{C3D05DF6-5E5A-4F20-AB24-798D54EECD59}">
          <x14:formula1>
            <xm:f>list!$A$78:$A$79</xm:f>
          </x14:formula1>
          <xm:sqref>Y105:Y114 Y80:Y98 Y56:Y65 Y31:Y49</xm:sqref>
        </x14:dataValidation>
        <x14:dataValidation type="list" allowBlank="1" showInputMessage="1" showErrorMessage="1" error="Въведете БЕ или чужд!_x000a_БЕ - обучение на български език_x000a_чужд - обучение на чужд език" xr:uid="{B8A05EEB-EC2A-4708-B6E2-1F7EF949DF22}">
          <x14:formula1>
            <xm:f>list!$A$59:$A$61</xm:f>
          </x14:formula1>
          <xm:sqref>W80:W98 W31:W49</xm:sqref>
        </x14:dataValidation>
        <x14:dataValidation type="list" allowBlank="1" showInputMessage="1" showErrorMessage="1" xr:uid="{02DCC8C2-8AF2-4767-9A51-FBD2DC69D799}">
          <x14:formula1>
            <xm:f>list!$A$24:$A$40</xm:f>
          </x14:formula1>
          <xm:sqref>P56:P65 P31:P49 P105:P114 O71:O73 P80:P98 O120:O122</xm:sqref>
        </x14:dataValidation>
        <x14:dataValidation type="list" allowBlank="1" showInputMessage="1" showErrorMessage="1" xr:uid="{E22BC748-E5D3-4DF6-A57E-2DA0BD5390D6}">
          <x14:formula1>
            <xm:f>list!$A$25:$A$41</xm:f>
          </x14:formula1>
          <xm:sqref>Q129:Q141</xm:sqref>
        </x14:dataValidation>
        <x14:dataValidation type="list" allowBlank="1" showInputMessage="1" showErrorMessage="1" error="Посочете_x000a_р.об. - за редовна форма_x000a_з.об. - за задочна форма_x000a_д.об. - за дистанционна форма_x000a_ИП - за обучение по индивидуален план_x000a_" xr:uid="{66D1C1EF-E598-48D2-9C48-70483A3003E1}">
          <x14:formula1>
            <xm:f>list!$A$53:$A$56</xm:f>
          </x14:formula1>
          <xm:sqref>S31:S49 S56:S65 S80:S98 S105:S114 T129:T141</xm:sqref>
        </x14:dataValidation>
        <x14:dataValidation type="list" allowBlank="1" showInputMessage="1" showErrorMessage="1" xr:uid="{FD7E53A7-C260-4743-A7F2-1AD7F679748A}">
          <x14:formula1>
            <xm:f>INDIRECT(ПЕРИОД!$D$14)</xm:f>
          </x14:formula1>
          <xm:sqref>W129:W141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">
    <pageSetUpPr fitToPage="1"/>
  </sheetPr>
  <dimension ref="B1:V40"/>
  <sheetViews>
    <sheetView showGridLines="0" showRowColHeaders="0" zoomScale="90" zoomScaleNormal="90" workbookViewId="0">
      <pane ySplit="5" topLeftCell="A20" activePane="bottomLeft" state="frozen"/>
      <selection activeCell="B7" sqref="B7:L7"/>
      <selection pane="bottomLeft" activeCell="B26" sqref="B26"/>
    </sheetView>
  </sheetViews>
  <sheetFormatPr defaultRowHeight="16.5" x14ac:dyDescent="0.3"/>
  <cols>
    <col min="1" max="1" width="2.28515625" style="41" customWidth="1"/>
    <col min="2" max="2" width="56" style="41" customWidth="1"/>
    <col min="3" max="3" width="25.5703125" style="41" customWidth="1"/>
    <col min="4" max="4" width="28.28515625" style="41" bestFit="1" customWidth="1"/>
    <col min="5" max="5" width="7" style="41" customWidth="1"/>
    <col min="6" max="6" width="11.42578125" style="41" bestFit="1" customWidth="1"/>
    <col min="7" max="7" width="12.5703125" style="41" customWidth="1"/>
    <col min="8" max="8" width="11.7109375" style="41" bestFit="1" customWidth="1"/>
    <col min="9" max="9" width="11.42578125" style="41" bestFit="1" customWidth="1"/>
    <col min="10" max="10" width="9.85546875" style="41" bestFit="1" customWidth="1"/>
    <col min="11" max="11" width="8.5703125" style="53" hidden="1" customWidth="1"/>
    <col min="12" max="12" width="11.5703125" style="53" hidden="1" customWidth="1"/>
    <col min="13" max="13" width="11.140625" style="53" hidden="1" customWidth="1"/>
    <col min="14" max="14" width="8.28515625" style="41" hidden="1" customWidth="1"/>
    <col min="15" max="15" width="9.28515625" style="53" hidden="1" customWidth="1"/>
    <col min="16" max="16" width="9.5703125" style="53" hidden="1" customWidth="1"/>
    <col min="17" max="17" width="12.140625" style="41" hidden="1" customWidth="1"/>
    <col min="18" max="18" width="0" style="41" hidden="1" customWidth="1"/>
    <col min="19" max="19" width="5.42578125" style="41" hidden="1" customWidth="1"/>
    <col min="20" max="20" width="7.5703125" style="41" hidden="1" customWidth="1"/>
    <col min="21" max="21" width="11.42578125" style="41" hidden="1" customWidth="1"/>
    <col min="22" max="22" width="0" style="41" hidden="1" customWidth="1"/>
    <col min="23" max="16384" width="9.140625" style="41"/>
  </cols>
  <sheetData>
    <row r="1" spans="2:19" x14ac:dyDescent="0.3">
      <c r="B1" s="1595" t="str">
        <f>ПЕРИОД!D12</f>
        <v>Факултет / катедра / ----</v>
      </c>
      <c r="C1" s="1595"/>
      <c r="D1" s="1595"/>
      <c r="E1" s="1595"/>
      <c r="F1" s="1595"/>
      <c r="G1" s="1595"/>
      <c r="H1" s="1595"/>
      <c r="I1" s="1595"/>
      <c r="J1" s="81"/>
    </row>
    <row r="2" spans="2:19" ht="18.75" x14ac:dyDescent="0.3">
      <c r="B2" s="1596" t="str">
        <f>ПЕРИОД!D17&amp;", ОНС ""доктор"""</f>
        <v>Индивидуален отчет, ОНС "доктор"</v>
      </c>
      <c r="C2" s="1596"/>
      <c r="D2" s="1596"/>
      <c r="E2" s="1596"/>
      <c r="F2" s="1596"/>
      <c r="G2" s="1596"/>
      <c r="H2" s="1596"/>
      <c r="I2" s="1596"/>
      <c r="J2" s="1596"/>
    </row>
    <row r="3" spans="2:19" ht="21" customHeight="1" x14ac:dyDescent="0.3">
      <c r="B3" s="1717" t="s">
        <v>118</v>
      </c>
      <c r="C3" s="1717"/>
      <c r="D3" s="1717"/>
      <c r="E3" s="1717"/>
      <c r="F3" s="1717"/>
      <c r="G3" s="1717"/>
      <c r="H3" s="1717"/>
      <c r="I3" s="1717"/>
      <c r="J3" s="82"/>
    </row>
    <row r="4" spans="2:19" ht="9" customHeight="1" x14ac:dyDescent="0.3">
      <c r="B4" s="99"/>
      <c r="C4" s="99"/>
      <c r="D4" s="99"/>
      <c r="E4" s="99"/>
      <c r="F4" s="99"/>
      <c r="G4" s="99"/>
      <c r="H4" s="99"/>
      <c r="I4" s="99"/>
      <c r="J4" s="99"/>
    </row>
    <row r="5" spans="2:19" s="54" customFormat="1" ht="24.95" customHeight="1" x14ac:dyDescent="0.3">
      <c r="B5" s="588" t="s">
        <v>1</v>
      </c>
      <c r="C5" s="664" t="s">
        <v>117</v>
      </c>
      <c r="D5" s="664" t="s">
        <v>67</v>
      </c>
      <c r="E5" s="1704" t="s">
        <v>68</v>
      </c>
      <c r="F5" s="1704"/>
      <c r="G5" s="1705" t="s">
        <v>151</v>
      </c>
      <c r="H5" s="1705"/>
      <c r="I5" s="667" t="s">
        <v>113</v>
      </c>
      <c r="J5" s="665" t="s">
        <v>119</v>
      </c>
      <c r="K5" s="55"/>
      <c r="L5" s="55"/>
      <c r="M5" s="55"/>
      <c r="O5" s="55"/>
      <c r="P5" s="55"/>
      <c r="R5"/>
      <c r="S5"/>
    </row>
    <row r="6" spans="2:19" s="106" customFormat="1" ht="9" customHeight="1" thickBot="1" x14ac:dyDescent="0.35">
      <c r="B6" s="107"/>
      <c r="C6" s="108"/>
      <c r="D6" s="104"/>
      <c r="E6" s="104"/>
      <c r="F6" s="104"/>
      <c r="G6" s="108"/>
      <c r="I6" s="104"/>
      <c r="J6" s="104"/>
      <c r="K6" s="109"/>
      <c r="L6" s="109"/>
      <c r="M6" s="109"/>
      <c r="O6" s="109"/>
      <c r="P6" s="109"/>
    </row>
    <row r="7" spans="2:19" ht="20.25" x14ac:dyDescent="0.3">
      <c r="B7" s="1605" t="s">
        <v>112</v>
      </c>
      <c r="C7" s="1606"/>
      <c r="D7" s="1606"/>
      <c r="E7" s="1606"/>
      <c r="F7" s="1606"/>
      <c r="G7" s="1606"/>
      <c r="H7" s="1606"/>
      <c r="I7" s="1606"/>
      <c r="J7" s="1607"/>
    </row>
    <row r="8" spans="2:19" ht="21" customHeight="1" x14ac:dyDescent="0.3">
      <c r="B8" s="1695" t="s">
        <v>495</v>
      </c>
      <c r="C8" s="1696"/>
      <c r="D8" s="1696"/>
      <c r="E8" s="1696"/>
      <c r="F8" s="1696"/>
      <c r="G8" s="1696"/>
      <c r="H8" s="1696"/>
      <c r="I8" s="1696"/>
      <c r="J8" s="1697"/>
    </row>
    <row r="9" spans="2:19" x14ac:dyDescent="0.3">
      <c r="B9" s="1698" t="s">
        <v>488</v>
      </c>
      <c r="C9" s="1699"/>
      <c r="D9" s="1699"/>
      <c r="E9" s="1699"/>
      <c r="F9" s="1699"/>
      <c r="G9" s="1699"/>
      <c r="H9" s="1699"/>
      <c r="I9" s="1699"/>
      <c r="J9" s="1700"/>
    </row>
    <row r="10" spans="2:19" x14ac:dyDescent="0.3">
      <c r="B10" s="1698" t="s">
        <v>489</v>
      </c>
      <c r="C10" s="1699"/>
      <c r="D10" s="1699"/>
      <c r="E10" s="1699"/>
      <c r="F10" s="1699"/>
      <c r="G10" s="1699"/>
      <c r="H10" s="1699"/>
      <c r="I10" s="1699"/>
      <c r="J10" s="1700"/>
    </row>
    <row r="11" spans="2:19" s="43" customFormat="1" x14ac:dyDescent="0.25">
      <c r="B11" s="1698" t="s">
        <v>490</v>
      </c>
      <c r="C11" s="1699"/>
      <c r="D11" s="1699"/>
      <c r="E11" s="1699"/>
      <c r="F11" s="1699"/>
      <c r="G11" s="1699"/>
      <c r="H11" s="1699"/>
      <c r="I11" s="1699"/>
      <c r="J11" s="1700"/>
      <c r="K11" s="97"/>
      <c r="L11" s="97"/>
      <c r="M11" s="97"/>
      <c r="O11" s="97"/>
      <c r="P11" s="97"/>
    </row>
    <row r="12" spans="2:19" s="43" customFormat="1" x14ac:dyDescent="0.25">
      <c r="B12" s="1718" t="s">
        <v>499</v>
      </c>
      <c r="C12" s="1719"/>
      <c r="D12" s="1719"/>
      <c r="E12" s="1719"/>
      <c r="F12" s="1719"/>
      <c r="G12" s="1719"/>
      <c r="H12" s="1719"/>
      <c r="I12" s="1719"/>
      <c r="J12" s="1720"/>
      <c r="K12" s="97"/>
      <c r="L12" s="97"/>
      <c r="M12" s="97"/>
      <c r="O12" s="97"/>
      <c r="P12" s="97"/>
    </row>
    <row r="13" spans="2:19" s="43" customFormat="1" x14ac:dyDescent="0.25">
      <c r="B13" s="1698" t="s">
        <v>491</v>
      </c>
      <c r="C13" s="1699"/>
      <c r="D13" s="1699"/>
      <c r="E13" s="1699"/>
      <c r="F13" s="1699"/>
      <c r="G13" s="1699"/>
      <c r="H13" s="1699"/>
      <c r="I13" s="1699"/>
      <c r="J13" s="1700"/>
      <c r="K13" s="97"/>
      <c r="L13" s="97"/>
      <c r="M13" s="97"/>
      <c r="O13" s="97"/>
      <c r="P13" s="97"/>
    </row>
    <row r="14" spans="2:19" ht="36" customHeight="1" x14ac:dyDescent="0.3">
      <c r="B14" s="1718" t="s">
        <v>521</v>
      </c>
      <c r="C14" s="1719"/>
      <c r="D14" s="1719"/>
      <c r="E14" s="1719"/>
      <c r="F14" s="1719"/>
      <c r="G14" s="1719"/>
      <c r="H14" s="1719"/>
      <c r="I14" s="1719"/>
      <c r="J14" s="1720"/>
    </row>
    <row r="15" spans="2:19" s="43" customFormat="1" x14ac:dyDescent="0.25">
      <c r="B15" s="1698" t="s">
        <v>492</v>
      </c>
      <c r="C15" s="1699"/>
      <c r="D15" s="1699"/>
      <c r="E15" s="1699"/>
      <c r="F15" s="1699"/>
      <c r="G15" s="1699"/>
      <c r="H15" s="1699"/>
      <c r="I15" s="1699"/>
      <c r="J15" s="1700"/>
      <c r="K15" s="97"/>
      <c r="L15" s="97"/>
      <c r="M15" s="97"/>
      <c r="O15" s="97"/>
      <c r="P15" s="97"/>
    </row>
    <row r="16" spans="2:19" s="43" customFormat="1" x14ac:dyDescent="0.25">
      <c r="B16" s="1698" t="s">
        <v>522</v>
      </c>
      <c r="C16" s="1699"/>
      <c r="D16" s="1699"/>
      <c r="E16" s="1699"/>
      <c r="F16" s="1699"/>
      <c r="G16" s="1699"/>
      <c r="H16" s="1699"/>
      <c r="I16" s="1699"/>
      <c r="J16" s="1700"/>
      <c r="K16" s="97"/>
      <c r="L16" s="97"/>
      <c r="M16" s="97"/>
      <c r="O16" s="97"/>
      <c r="P16" s="97"/>
    </row>
    <row r="17" spans="2:22" x14ac:dyDescent="0.3">
      <c r="B17" s="1695" t="s">
        <v>496</v>
      </c>
      <c r="C17" s="1696"/>
      <c r="D17" s="1696"/>
      <c r="E17" s="1696"/>
      <c r="F17" s="1696"/>
      <c r="G17" s="1696"/>
      <c r="H17" s="1696"/>
      <c r="I17" s="1696"/>
      <c r="J17" s="1697"/>
    </row>
    <row r="18" spans="2:22" s="43" customFormat="1" x14ac:dyDescent="0.25">
      <c r="B18" s="1698" t="s">
        <v>493</v>
      </c>
      <c r="C18" s="1699"/>
      <c r="D18" s="1699"/>
      <c r="E18" s="1699"/>
      <c r="F18" s="1699"/>
      <c r="G18" s="1699"/>
      <c r="H18" s="1699"/>
      <c r="I18" s="1699"/>
      <c r="J18" s="1700"/>
      <c r="K18" s="97"/>
      <c r="L18" s="97"/>
      <c r="M18" s="97"/>
      <c r="O18" s="97"/>
      <c r="P18" s="97"/>
    </row>
    <row r="19" spans="2:22" s="43" customFormat="1" ht="17.25" thickBot="1" x14ac:dyDescent="0.3">
      <c r="B19" s="1701" t="s">
        <v>487</v>
      </c>
      <c r="C19" s="1702"/>
      <c r="D19" s="1702"/>
      <c r="E19" s="1702"/>
      <c r="F19" s="1702"/>
      <c r="G19" s="1702"/>
      <c r="H19" s="1702"/>
      <c r="I19" s="1702"/>
      <c r="J19" s="1703"/>
      <c r="K19" s="97"/>
      <c r="L19" s="97"/>
      <c r="M19" s="97"/>
      <c r="O19" s="97"/>
      <c r="P19" s="97"/>
    </row>
    <row r="20" spans="2:22" ht="9.9499999999999993" customHeight="1" x14ac:dyDescent="0.3"/>
    <row r="21" spans="2:22" ht="18.75" customHeight="1" x14ac:dyDescent="0.3">
      <c r="B21" s="1721" t="str">
        <f>"1. ОНС ""доктор"", аудиторна заетост и изпити по учебен план "&amp;'1. Планд'!D23&amp;" учебна година"</f>
        <v>1. ОНС "доктор", аудиторна заетост и изпити по учебен план 2020/2021 учебна година</v>
      </c>
      <c r="C21" s="1722"/>
      <c r="D21" s="1722"/>
      <c r="E21" s="1722"/>
      <c r="F21" s="1722"/>
      <c r="G21" s="1722"/>
      <c r="H21" s="1722"/>
      <c r="I21" s="1722"/>
      <c r="J21" s="1723"/>
    </row>
    <row r="22" spans="2:22" ht="17.25" thickBot="1" x14ac:dyDescent="0.35">
      <c r="B22" s="1724" t="s">
        <v>475</v>
      </c>
      <c r="C22" s="1725"/>
      <c r="D22" s="1725"/>
      <c r="E22" s="1725"/>
      <c r="F22" s="1725"/>
      <c r="G22" s="1725"/>
      <c r="H22" s="1725"/>
      <c r="I22" s="1725"/>
      <c r="J22" s="1726"/>
    </row>
    <row r="23" spans="2:22" ht="17.25" thickBot="1" x14ac:dyDescent="0.35">
      <c r="B23" s="1714" t="s">
        <v>525</v>
      </c>
      <c r="C23" s="1712" t="s">
        <v>209</v>
      </c>
      <c r="D23" s="1710" t="s">
        <v>210</v>
      </c>
      <c r="E23" s="1708" t="s">
        <v>21</v>
      </c>
      <c r="F23" s="1714" t="s">
        <v>335</v>
      </c>
      <c r="G23" s="1712"/>
      <c r="H23" s="1712"/>
      <c r="I23" s="1730"/>
      <c r="J23" s="1706" t="s">
        <v>136</v>
      </c>
    </row>
    <row r="24" spans="2:22" ht="16.5" customHeight="1" thickBot="1" x14ac:dyDescent="0.35">
      <c r="B24" s="1715"/>
      <c r="C24" s="1713"/>
      <c r="D24" s="1711"/>
      <c r="E24" s="1709"/>
      <c r="F24" s="260" t="s">
        <v>403</v>
      </c>
      <c r="G24" s="248" t="s">
        <v>334</v>
      </c>
      <c r="H24" s="248" t="s">
        <v>342</v>
      </c>
      <c r="I24" s="261" t="s">
        <v>330</v>
      </c>
      <c r="J24" s="1707"/>
      <c r="K24" s="1692" t="s">
        <v>759</v>
      </c>
      <c r="L24" s="1693"/>
      <c r="M24" s="1693"/>
      <c r="N24" s="1693"/>
      <c r="O24" s="1693"/>
      <c r="P24" s="1694"/>
      <c r="Q24" s="177" t="s">
        <v>410</v>
      </c>
      <c r="R24" s="1692" t="s">
        <v>313</v>
      </c>
      <c r="S24" s="1694"/>
      <c r="T24" s="1692" t="s">
        <v>339</v>
      </c>
      <c r="U24" s="1693"/>
      <c r="V24" s="1694"/>
    </row>
    <row r="25" spans="2:22" s="56" customFormat="1" ht="17.25" hidden="1" thickBot="1" x14ac:dyDescent="0.3">
      <c r="B25" s="173" t="s">
        <v>194</v>
      </c>
      <c r="C25" s="173" t="s">
        <v>209</v>
      </c>
      <c r="D25" s="174" t="s">
        <v>210</v>
      </c>
      <c r="E25" s="178" t="s">
        <v>21</v>
      </c>
      <c r="F25" s="175" t="s">
        <v>403</v>
      </c>
      <c r="G25" s="173" t="s">
        <v>334</v>
      </c>
      <c r="H25" s="173" t="s">
        <v>342</v>
      </c>
      <c r="I25" s="176" t="s">
        <v>330</v>
      </c>
      <c r="J25" s="173" t="s">
        <v>136</v>
      </c>
      <c r="K25" s="817" t="s">
        <v>758</v>
      </c>
      <c r="L25" s="818" t="s">
        <v>761</v>
      </c>
      <c r="M25" s="818" t="s">
        <v>762</v>
      </c>
      <c r="N25" s="818" t="s">
        <v>760</v>
      </c>
      <c r="O25" s="818" t="s">
        <v>338</v>
      </c>
      <c r="P25" s="819" t="s">
        <v>670</v>
      </c>
      <c r="Q25" s="176" t="s">
        <v>409</v>
      </c>
      <c r="R25" s="175" t="s">
        <v>315</v>
      </c>
      <c r="S25" s="173" t="s">
        <v>314</v>
      </c>
      <c r="T25" s="817" t="s">
        <v>341</v>
      </c>
      <c r="U25" s="818" t="s">
        <v>404</v>
      </c>
      <c r="V25" s="819" t="s">
        <v>392</v>
      </c>
    </row>
    <row r="26" spans="2:22" s="50" customFormat="1" x14ac:dyDescent="0.3">
      <c r="B26" s="753"/>
      <c r="C26" s="753"/>
      <c r="D26" s="753"/>
      <c r="E26" s="706" t="s">
        <v>84</v>
      </c>
      <c r="F26" s="339"/>
      <c r="G26" s="301"/>
      <c r="H26" s="301"/>
      <c r="I26" s="302"/>
      <c r="J26" s="907"/>
      <c r="K26" s="828">
        <f>((9-COUNTBLANK(DrAZ[[#This Row],[Докторански курс]:[Семестър]]))&gt;1)*1</f>
        <v>0</v>
      </c>
      <c r="L26" s="829">
        <f>DrAZ[[#This Row],[пПразни]]*(3-COUNTBLANK(DrAZ[[#This Row],[Докторански курс]:[Професионално направление]])&lt;=3)</f>
        <v>0</v>
      </c>
      <c r="M26" s="829">
        <f>DrAZ[[#This Row],[пПразни]]*(N(DrAZ[[#This Row],[Докторанти]])=0)</f>
        <v>0</v>
      </c>
      <c r="N26" s="829">
        <f>DrAZ[[#This Row],[пПразни]]*(SUM(DrAZ[[#This Row],[Лекции]:[Упражнения]])=0)</f>
        <v>0</v>
      </c>
      <c r="O26" s="829">
        <f>DrAZ[[#This Row],[пПразни]]*(N(DrAZ[[#This Row],[Изпитани]])=0)</f>
        <v>0</v>
      </c>
      <c r="P26" s="830">
        <f>DrAZ[[#This Row],[пПразни]]*(LEN(DrAZ[[#This Row],[Семестър]])=0)</f>
        <v>0</v>
      </c>
      <c r="Q26" s="831" t="str">
        <f>IF(DrAZ[[#This Row],[пПразни]],DrAZ[[#This Row],[Семестър]]&amp;"|"&amp;DrAZ[[#This Row],[Език]],"")</f>
        <v/>
      </c>
      <c r="R26" s="832">
        <f>IF(DrAZ[[#This Row],[Докторанти]]&gt;=3,1,IFERROR(VLOOKUP(DrAZ[[#This Row],[Докторанти]],RedukciaDr[],2,0),0))</f>
        <v>0</v>
      </c>
      <c r="S26" s="833">
        <f>IF(DrAZ[[#This Row],[Език]]="чужд",1.5,1)</f>
        <v>1</v>
      </c>
      <c r="T26" s="828">
        <f>DrAZ[[#This Row],[Лекции]]*DrAZ[[#This Row],[кРедукция]]*DrAZ[[#This Row],[кЕзик]]*кЛекции</f>
        <v>0</v>
      </c>
      <c r="U26" s="829">
        <f>DrAZ[[#This Row],[Упражнения]]*DrAZ[[#This Row],[кРедукция]]*DrAZ[[#This Row],[кЕзик]]*кУпражнение</f>
        <v>0</v>
      </c>
      <c r="V26" s="830">
        <f>DrAZ[[#This Row],[Изпитани]]*кИзпитаниДок</f>
        <v>0</v>
      </c>
    </row>
    <row r="27" spans="2:22" s="50" customFormat="1" x14ac:dyDescent="0.3">
      <c r="B27" s="753"/>
      <c r="C27" s="753"/>
      <c r="D27" s="753"/>
      <c r="E27" s="706" t="s">
        <v>84</v>
      </c>
      <c r="F27" s="339"/>
      <c r="G27" s="301"/>
      <c r="H27" s="301"/>
      <c r="I27" s="302"/>
      <c r="J27" s="908"/>
      <c r="K27" s="834">
        <f>((9-COUNTBLANK(DrAZ[[#This Row],[Докторански курс]:[Семестър]]))&gt;1)*1</f>
        <v>0</v>
      </c>
      <c r="L27" s="835">
        <f>DrAZ[[#This Row],[пПразни]]*(3-COUNTBLANK(DrAZ[[#This Row],[Докторански курс]:[Професионално направление]])&lt;=3)</f>
        <v>0</v>
      </c>
      <c r="M27" s="835">
        <f>DrAZ[[#This Row],[пПразни]]*(N(DrAZ[[#This Row],[Докторанти]])=0)</f>
        <v>0</v>
      </c>
      <c r="N27" s="835">
        <f>DrAZ[[#This Row],[пПразни]]*(SUM(DrAZ[[#This Row],[Лекции]:[Упражнения]])=0)</f>
        <v>0</v>
      </c>
      <c r="O27" s="835">
        <f>DrAZ[[#This Row],[пПразни]]*(N(DrAZ[[#This Row],[Изпитани]])=0)</f>
        <v>0</v>
      </c>
      <c r="P27" s="836">
        <f>DrAZ[[#This Row],[пПразни]]*(LEN(DrAZ[[#This Row],[Семестър]])=0)</f>
        <v>0</v>
      </c>
      <c r="Q27" s="831" t="str">
        <f>IF(DrAZ[[#This Row],[пПразни]],DrAZ[[#This Row],[Семестър]]&amp;"|"&amp;DrAZ[[#This Row],[Език]],"")</f>
        <v/>
      </c>
      <c r="R27" s="832">
        <f>IF(DrAZ[[#This Row],[Докторанти]]&gt;=3,1,IFERROR(VLOOKUP(DrAZ[[#This Row],[Докторанти]],RedukciaDr[],2,0),0))</f>
        <v>0</v>
      </c>
      <c r="S27" s="833">
        <f>IF(DrAZ[[#This Row],[Език]]="чужд",1.5,1)</f>
        <v>1</v>
      </c>
      <c r="T27" s="834">
        <f>DrAZ[[#This Row],[Лекции]]*DrAZ[[#This Row],[кРедукция]]*DrAZ[[#This Row],[кЕзик]]*кЛекции</f>
        <v>0</v>
      </c>
      <c r="U27" s="835">
        <f>DrAZ[[#This Row],[Упражнения]]*DrAZ[[#This Row],[кРедукция]]*DrAZ[[#This Row],[кЕзик]]*кУпражнение</f>
        <v>0</v>
      </c>
      <c r="V27" s="836">
        <f>DrAZ[[#This Row],[Изпитани]]*кИзпитаниДок</f>
        <v>0</v>
      </c>
    </row>
    <row r="28" spans="2:22" s="50" customFormat="1" x14ac:dyDescent="0.3">
      <c r="B28" s="753"/>
      <c r="C28" s="753"/>
      <c r="D28" s="753"/>
      <c r="E28" s="706" t="s">
        <v>84</v>
      </c>
      <c r="F28" s="339"/>
      <c r="G28" s="301"/>
      <c r="H28" s="301"/>
      <c r="I28" s="302"/>
      <c r="J28" s="908"/>
      <c r="K28" s="834">
        <f>((9-COUNTBLANK(DrAZ[[#This Row],[Докторански курс]:[Семестър]]))&gt;1)*1</f>
        <v>0</v>
      </c>
      <c r="L28" s="835">
        <f>DrAZ[[#This Row],[пПразни]]*(3-COUNTBLANK(DrAZ[[#This Row],[Докторански курс]:[Професионално направление]])&lt;=3)</f>
        <v>0</v>
      </c>
      <c r="M28" s="835">
        <f>DrAZ[[#This Row],[пПразни]]*(N(DrAZ[[#This Row],[Докторанти]])=0)</f>
        <v>0</v>
      </c>
      <c r="N28" s="835">
        <f>DrAZ[[#This Row],[пПразни]]*(SUM(DrAZ[[#This Row],[Лекции]:[Упражнения]])=0)</f>
        <v>0</v>
      </c>
      <c r="O28" s="835">
        <f>DrAZ[[#This Row],[пПразни]]*(N(DrAZ[[#This Row],[Изпитани]])=0)</f>
        <v>0</v>
      </c>
      <c r="P28" s="836">
        <f>DrAZ[[#This Row],[пПразни]]*(LEN(DrAZ[[#This Row],[Семестър]])=0)</f>
        <v>0</v>
      </c>
      <c r="Q28" s="831" t="str">
        <f>IF(DrAZ[[#This Row],[пПразни]],DrAZ[[#This Row],[Семестър]]&amp;"|"&amp;DrAZ[[#This Row],[Език]],"")</f>
        <v/>
      </c>
      <c r="R28" s="832">
        <f>IF(DrAZ[[#This Row],[Докторанти]]&gt;=3,1,IFERROR(VLOOKUP(DrAZ[[#This Row],[Докторанти]],RedukciaDr[],2,0),0))</f>
        <v>0</v>
      </c>
      <c r="S28" s="833">
        <f>IF(DrAZ[[#This Row],[Език]]="чужд",1.5,1)</f>
        <v>1</v>
      </c>
      <c r="T28" s="834">
        <f>DrAZ[[#This Row],[Лекции]]*DrAZ[[#This Row],[кРедукция]]*DrAZ[[#This Row],[кЕзик]]*кЛекции</f>
        <v>0</v>
      </c>
      <c r="U28" s="835">
        <f>DrAZ[[#This Row],[Упражнения]]*DrAZ[[#This Row],[кРедукция]]*DrAZ[[#This Row],[кЕзик]]*кУпражнение</f>
        <v>0</v>
      </c>
      <c r="V28" s="836">
        <f>DrAZ[[#This Row],[Изпитани]]*кИзпитаниДок</f>
        <v>0</v>
      </c>
    </row>
    <row r="29" spans="2:22" s="50" customFormat="1" x14ac:dyDescent="0.3">
      <c r="B29" s="753"/>
      <c r="C29" s="753"/>
      <c r="D29" s="753"/>
      <c r="E29" s="706" t="s">
        <v>84</v>
      </c>
      <c r="F29" s="339"/>
      <c r="G29" s="301"/>
      <c r="H29" s="301"/>
      <c r="I29" s="302"/>
      <c r="J29" s="908"/>
      <c r="K29" s="834">
        <f>((9-COUNTBLANK(DrAZ[[#This Row],[Докторански курс]:[Семестър]]))&gt;1)*1</f>
        <v>0</v>
      </c>
      <c r="L29" s="835">
        <f>DrAZ[[#This Row],[пПразни]]*(3-COUNTBLANK(DrAZ[[#This Row],[Докторански курс]:[Професионално направление]])&lt;=3)</f>
        <v>0</v>
      </c>
      <c r="M29" s="835">
        <f>DrAZ[[#This Row],[пПразни]]*(N(DrAZ[[#This Row],[Докторанти]])=0)</f>
        <v>0</v>
      </c>
      <c r="N29" s="835">
        <f>DrAZ[[#This Row],[пПразни]]*(SUM(DrAZ[[#This Row],[Лекции]:[Упражнения]])=0)</f>
        <v>0</v>
      </c>
      <c r="O29" s="835">
        <f>DrAZ[[#This Row],[пПразни]]*(N(DrAZ[[#This Row],[Изпитани]])=0)</f>
        <v>0</v>
      </c>
      <c r="P29" s="836">
        <f>DrAZ[[#This Row],[пПразни]]*(LEN(DrAZ[[#This Row],[Семестър]])=0)</f>
        <v>0</v>
      </c>
      <c r="Q29" s="831" t="str">
        <f>IF(DrAZ[[#This Row],[пПразни]],DrAZ[[#This Row],[Семестър]]&amp;"|"&amp;DrAZ[[#This Row],[Език]],"")</f>
        <v/>
      </c>
      <c r="R29" s="832">
        <f>IF(DrAZ[[#This Row],[Докторанти]]&gt;=3,1,IFERROR(VLOOKUP(DrAZ[[#This Row],[Докторанти]],RedukciaDr[],2,0),0))</f>
        <v>0</v>
      </c>
      <c r="S29" s="833">
        <f>IF(DrAZ[[#This Row],[Език]]="чужд",1.5,1)</f>
        <v>1</v>
      </c>
      <c r="T29" s="834">
        <f>DrAZ[[#This Row],[Лекции]]*DrAZ[[#This Row],[кРедукция]]*DrAZ[[#This Row],[кЕзик]]*кЛекции</f>
        <v>0</v>
      </c>
      <c r="U29" s="835">
        <f>DrAZ[[#This Row],[Упражнения]]*DrAZ[[#This Row],[кРедукция]]*DrAZ[[#This Row],[кЕзик]]*кУпражнение</f>
        <v>0</v>
      </c>
      <c r="V29" s="836">
        <f>DrAZ[[#This Row],[Изпитани]]*кИзпитаниДок</f>
        <v>0</v>
      </c>
    </row>
    <row r="30" spans="2:22" s="50" customFormat="1" x14ac:dyDescent="0.3">
      <c r="B30" s="753"/>
      <c r="C30" s="753"/>
      <c r="D30" s="753"/>
      <c r="E30" s="706" t="s">
        <v>84</v>
      </c>
      <c r="F30" s="339"/>
      <c r="G30" s="301"/>
      <c r="H30" s="301"/>
      <c r="I30" s="302"/>
      <c r="J30" s="908"/>
      <c r="K30" s="834">
        <f>((9-COUNTBLANK(DrAZ[[#This Row],[Докторански курс]:[Семестър]]))&gt;1)*1</f>
        <v>0</v>
      </c>
      <c r="L30" s="835">
        <f>DrAZ[[#This Row],[пПразни]]*(3-COUNTBLANK(DrAZ[[#This Row],[Докторански курс]:[Професионално направление]])&lt;=3)</f>
        <v>0</v>
      </c>
      <c r="M30" s="835">
        <f>DrAZ[[#This Row],[пПразни]]*(N(DrAZ[[#This Row],[Докторанти]])=0)</f>
        <v>0</v>
      </c>
      <c r="N30" s="835">
        <f>DrAZ[[#This Row],[пПразни]]*(SUM(DrAZ[[#This Row],[Лекции]:[Упражнения]])=0)</f>
        <v>0</v>
      </c>
      <c r="O30" s="835">
        <f>DrAZ[[#This Row],[пПразни]]*(N(DrAZ[[#This Row],[Изпитани]])=0)</f>
        <v>0</v>
      </c>
      <c r="P30" s="836">
        <f>DrAZ[[#This Row],[пПразни]]*(LEN(DrAZ[[#This Row],[Семестър]])=0)</f>
        <v>0</v>
      </c>
      <c r="Q30" s="831" t="str">
        <f>IF(DrAZ[[#This Row],[пПразни]],DrAZ[[#This Row],[Семестър]]&amp;"|"&amp;DrAZ[[#This Row],[Език]],"")</f>
        <v/>
      </c>
      <c r="R30" s="832">
        <f>IF(DrAZ[[#This Row],[Докторанти]]&gt;=3,1,IFERROR(VLOOKUP(DrAZ[[#This Row],[Докторанти]],RedukciaDr[],2,0),0))</f>
        <v>0</v>
      </c>
      <c r="S30" s="833">
        <f>IF(DrAZ[[#This Row],[Език]]="чужд",1.5,1)</f>
        <v>1</v>
      </c>
      <c r="T30" s="834">
        <f>DrAZ[[#This Row],[Лекции]]*DrAZ[[#This Row],[кРедукция]]*DrAZ[[#This Row],[кЕзик]]*кЛекции</f>
        <v>0</v>
      </c>
      <c r="U30" s="835">
        <f>DrAZ[[#This Row],[Упражнения]]*DrAZ[[#This Row],[кРедукция]]*DrAZ[[#This Row],[кЕзик]]*кУпражнение</f>
        <v>0</v>
      </c>
      <c r="V30" s="836">
        <f>DrAZ[[#This Row],[Изпитани]]*кИзпитаниДок</f>
        <v>0</v>
      </c>
    </row>
    <row r="31" spans="2:22" s="50" customFormat="1" ht="17.25" thickBot="1" x14ac:dyDescent="0.35">
      <c r="B31" s="753"/>
      <c r="C31" s="753"/>
      <c r="D31" s="753"/>
      <c r="E31" s="711" t="s">
        <v>84</v>
      </c>
      <c r="F31" s="340"/>
      <c r="G31" s="341"/>
      <c r="H31" s="341"/>
      <c r="I31" s="342"/>
      <c r="J31" s="909"/>
      <c r="K31" s="837">
        <f>((9-COUNTBLANK(DrAZ[[#This Row],[Докторански курс]:[Семестър]]))&gt;1)*1</f>
        <v>0</v>
      </c>
      <c r="L31" s="838">
        <f>DrAZ[[#This Row],[пПразни]]*(3-COUNTBLANK(DrAZ[[#This Row],[Докторански курс]:[Професионално направление]])&lt;=3)</f>
        <v>0</v>
      </c>
      <c r="M31" s="838">
        <f>DrAZ[[#This Row],[пПразни]]*(N(DrAZ[[#This Row],[Докторанти]])=0)</f>
        <v>0</v>
      </c>
      <c r="N31" s="838">
        <f>DrAZ[[#This Row],[пПразни]]*(SUM(DrAZ[[#This Row],[Лекции]:[Упражнения]])=0)</f>
        <v>0</v>
      </c>
      <c r="O31" s="838">
        <f>DrAZ[[#This Row],[пПразни]]*(N(DrAZ[[#This Row],[Изпитани]])=0)</f>
        <v>0</v>
      </c>
      <c r="P31" s="839">
        <f>DrAZ[[#This Row],[пПразни]]*(LEN(DrAZ[[#This Row],[Семестър]])=0)</f>
        <v>0</v>
      </c>
      <c r="Q31" s="840" t="str">
        <f>IF(DrAZ[[#This Row],[пПразни]],DrAZ[[#This Row],[Семестър]]&amp;"|"&amp;DrAZ[[#This Row],[Език]],"")</f>
        <v/>
      </c>
      <c r="R31" s="841">
        <f>IF(DrAZ[[#This Row],[Докторанти]]&gt;=3,1,IFERROR(VLOOKUP(DrAZ[[#This Row],[Докторанти]],RedukciaDr[],2,0),0))</f>
        <v>0</v>
      </c>
      <c r="S31" s="842">
        <f>IF(DrAZ[[#This Row],[Език]]="чужд",1.5,1)</f>
        <v>1</v>
      </c>
      <c r="T31" s="837">
        <f>DrAZ[[#This Row],[Лекции]]*DrAZ[[#This Row],[кРедукция]]*DrAZ[[#This Row],[кЕзик]]*кЛекции</f>
        <v>0</v>
      </c>
      <c r="U31" s="838">
        <f>DrAZ[[#This Row],[Упражнения]]*DrAZ[[#This Row],[кРедукция]]*DrAZ[[#This Row],[кЕзик]]*кУпражнение</f>
        <v>0</v>
      </c>
      <c r="V31" s="839">
        <f>DrAZ[[#This Row],[Изпитани]]*кИзпитаниДок</f>
        <v>0</v>
      </c>
    </row>
    <row r="32" spans="2:22" ht="9.9499999999999993" customHeight="1" x14ac:dyDescent="0.3"/>
    <row r="33" spans="2:17" ht="21.75" customHeight="1" thickBot="1" x14ac:dyDescent="0.35">
      <c r="B33" s="1727" t="s">
        <v>496</v>
      </c>
      <c r="C33" s="1728"/>
      <c r="D33" s="1729"/>
      <c r="E33" s="291"/>
    </row>
    <row r="34" spans="2:17" ht="50.25" thickBot="1" x14ac:dyDescent="0.35">
      <c r="B34" s="653" t="s">
        <v>121</v>
      </c>
      <c r="C34" s="654" t="s">
        <v>120</v>
      </c>
      <c r="D34" s="655" t="s">
        <v>526</v>
      </c>
      <c r="E34" s="291"/>
    </row>
    <row r="35" spans="2:17" s="57" customFormat="1" ht="24" hidden="1" thickBot="1" x14ac:dyDescent="0.3">
      <c r="B35" s="657" t="s">
        <v>121</v>
      </c>
      <c r="C35" s="656" t="s">
        <v>120</v>
      </c>
      <c r="D35" s="658" t="s">
        <v>675</v>
      </c>
      <c r="E35" s="148"/>
      <c r="F35" s="126"/>
      <c r="G35" s="855"/>
      <c r="H35" s="855"/>
      <c r="I35" s="855"/>
      <c r="J35" s="855"/>
      <c r="K35" s="856"/>
      <c r="L35" s="856"/>
      <c r="M35" s="856"/>
      <c r="N35" s="857" t="s">
        <v>405</v>
      </c>
      <c r="O35" s="858" t="s">
        <v>755</v>
      </c>
      <c r="P35" s="859" t="s">
        <v>763</v>
      </c>
      <c r="Q35" s="860" t="s">
        <v>313</v>
      </c>
    </row>
    <row r="36" spans="2:17" ht="27" x14ac:dyDescent="0.3">
      <c r="B36" s="652" t="s">
        <v>122</v>
      </c>
      <c r="C36" s="754"/>
      <c r="D36" s="659"/>
      <c r="E36" s="85"/>
      <c r="F36" s="1716" t="s">
        <v>498</v>
      </c>
      <c r="G36" s="1716"/>
      <c r="H36" s="1716"/>
      <c r="I36" s="1716"/>
      <c r="J36" s="1716"/>
      <c r="K36" s="84"/>
      <c r="L36" s="84"/>
      <c r="M36" s="84"/>
      <c r="N36" s="843" t="s">
        <v>405</v>
      </c>
      <c r="O36" s="844">
        <v>1</v>
      </c>
      <c r="P36" s="845">
        <f>T2_Доктор_КИ_НР[[#This Row],[Брой кандДок]]*T_КИ_НР[[#This Row],[Коефициент]]</f>
        <v>0</v>
      </c>
      <c r="Q36" s="846">
        <f>Coef!B21</f>
        <v>2</v>
      </c>
    </row>
    <row r="37" spans="2:17" ht="27" x14ac:dyDescent="0.3">
      <c r="B37" s="652" t="s">
        <v>123</v>
      </c>
      <c r="C37" s="725"/>
      <c r="D37" s="660"/>
      <c r="E37" s="85"/>
      <c r="F37" s="1716"/>
      <c r="G37" s="1716"/>
      <c r="H37" s="1716"/>
      <c r="I37" s="1716"/>
      <c r="J37" s="1716"/>
      <c r="K37" s="84"/>
      <c r="L37" s="84"/>
      <c r="M37" s="84"/>
      <c r="N37" s="847" t="s">
        <v>405</v>
      </c>
      <c r="O37" s="848">
        <v>2</v>
      </c>
      <c r="P37" s="849">
        <f>T2_Доктор_КИ_НР[[#This Row],[Брой кандДок]]*T_КИ_НР[[#This Row],[Коефициент]]</f>
        <v>0</v>
      </c>
      <c r="Q37" s="850">
        <f>Coef!B22</f>
        <v>120</v>
      </c>
    </row>
    <row r="38" spans="2:17" ht="27" x14ac:dyDescent="0.3">
      <c r="B38" s="652" t="s">
        <v>124</v>
      </c>
      <c r="C38" s="725"/>
      <c r="D38" s="660"/>
      <c r="E38" s="85"/>
      <c r="F38" s="1716"/>
      <c r="G38" s="1716"/>
      <c r="H38" s="1716"/>
      <c r="I38" s="1716"/>
      <c r="J38" s="1716"/>
      <c r="K38" s="84"/>
      <c r="L38" s="84"/>
      <c r="M38" s="84"/>
      <c r="N38" s="847" t="s">
        <v>405</v>
      </c>
      <c r="O38" s="848">
        <v>2</v>
      </c>
      <c r="P38" s="849">
        <f>T2_Доктор_КИ_НР[[#This Row],[Брой кандДок]]*T_КИ_НР[[#This Row],[Коефициент]]</f>
        <v>0</v>
      </c>
      <c r="Q38" s="850">
        <f>Coef!B23</f>
        <v>90</v>
      </c>
    </row>
    <row r="39" spans="2:17" ht="27.75" thickBot="1" x14ac:dyDescent="0.35">
      <c r="B39" s="652" t="s">
        <v>524</v>
      </c>
      <c r="C39" s="726"/>
      <c r="D39" s="661"/>
      <c r="E39" s="85"/>
      <c r="F39" s="1716"/>
      <c r="G39" s="1716"/>
      <c r="H39" s="1716"/>
      <c r="I39" s="1716"/>
      <c r="J39" s="1716"/>
      <c r="K39" s="84"/>
      <c r="L39" s="84"/>
      <c r="M39" s="84"/>
      <c r="N39" s="851" t="s">
        <v>405</v>
      </c>
      <c r="O39" s="852">
        <v>2</v>
      </c>
      <c r="P39" s="853">
        <f>T2_Доктор_КИ_НР[[#This Row],[Брой кандДок]]*T_КИ_НР[[#This Row],[Коефициент]]</f>
        <v>0</v>
      </c>
      <c r="Q39" s="854">
        <f>Coef!B24</f>
        <v>60</v>
      </c>
    </row>
    <row r="40" spans="2:17" ht="21.75" customHeight="1" x14ac:dyDescent="0.3"/>
  </sheetData>
  <sheetProtection algorithmName="SHA-512" hashValue="vOiVph/qz6g9IY6Edio9pHPy0G+VqaugY5OBALHI/bSX6kRSNH4SJjca6uSdi9Fisu4XbD6syIpXhNDWx4Z9kQ==" saltValue="pSPVS7ANZ1tySkqiJHuvFA==" spinCount="100000" sheet="1" objects="1" scenarios="1" formatCells="0" formatRows="0"/>
  <mergeCells count="31">
    <mergeCell ref="F36:J39"/>
    <mergeCell ref="B1:I1"/>
    <mergeCell ref="B3:I3"/>
    <mergeCell ref="B9:J9"/>
    <mergeCell ref="B8:J8"/>
    <mergeCell ref="B12:J12"/>
    <mergeCell ref="B14:J14"/>
    <mergeCell ref="B10:J10"/>
    <mergeCell ref="B15:J15"/>
    <mergeCell ref="B13:J13"/>
    <mergeCell ref="B2:J2"/>
    <mergeCell ref="B11:J11"/>
    <mergeCell ref="B21:J21"/>
    <mergeCell ref="B22:J22"/>
    <mergeCell ref="B33:D33"/>
    <mergeCell ref="F23:I23"/>
    <mergeCell ref="E5:F5"/>
    <mergeCell ref="B16:J16"/>
    <mergeCell ref="G5:H5"/>
    <mergeCell ref="R24:S24"/>
    <mergeCell ref="J23:J24"/>
    <mergeCell ref="E23:E24"/>
    <mergeCell ref="D23:D24"/>
    <mergeCell ref="C23:C24"/>
    <mergeCell ref="B23:B24"/>
    <mergeCell ref="K24:P24"/>
    <mergeCell ref="T24:V24"/>
    <mergeCell ref="B7:J7"/>
    <mergeCell ref="B17:J17"/>
    <mergeCell ref="B18:J18"/>
    <mergeCell ref="B19:J19"/>
  </mergeCells>
  <phoneticPr fontId="123" type="noConversion"/>
  <conditionalFormatting sqref="E26:E31">
    <cfRule type="containsBlanks" dxfId="105" priority="9">
      <formula>LEN(TRIM(E26))=0</formula>
    </cfRule>
  </conditionalFormatting>
  <conditionalFormatting sqref="B26:D31">
    <cfRule type="notContainsBlanks" dxfId="104" priority="3">
      <formula>LEN(TRIM(B26))&gt;0</formula>
    </cfRule>
    <cfRule type="expression" dxfId="103" priority="8">
      <formula>$L26</formula>
    </cfRule>
  </conditionalFormatting>
  <conditionalFormatting sqref="F26:F31">
    <cfRule type="expression" dxfId="102" priority="7">
      <formula>$M26</formula>
    </cfRule>
  </conditionalFormatting>
  <conditionalFormatting sqref="G26:H31">
    <cfRule type="expression" dxfId="101" priority="6">
      <formula>$N26</formula>
    </cfRule>
  </conditionalFormatting>
  <conditionalFormatting sqref="I26:I31">
    <cfRule type="expression" dxfId="100" priority="5">
      <formula>$O26</formula>
    </cfRule>
  </conditionalFormatting>
  <conditionalFormatting sqref="J26:J31">
    <cfRule type="expression" dxfId="99" priority="4">
      <formula>$P26</formula>
    </cfRule>
  </conditionalFormatting>
  <conditionalFormatting sqref="D36:D39">
    <cfRule type="notContainsBlanks" dxfId="98" priority="1">
      <formula>LEN(TRIM(D36))&gt;0</formula>
    </cfRule>
    <cfRule type="expression" dxfId="97" priority="2">
      <formula>LEN($C36)&gt;0</formula>
    </cfRule>
  </conditionalFormatting>
  <dataValidations count="2">
    <dataValidation allowBlank="1" showInputMessage="1" showErrorMessage="1" error="Посочете език на преподаване!_x000a_БЕ - преподаване на български език_x000a_чужд - преподаване на чужд език" sqref="D26:D31" xr:uid="{00000000-0002-0000-0E00-000000000000}"/>
    <dataValidation type="decimal" operator="greaterThanOrEqual" allowBlank="1" showInputMessage="1" showErrorMessage="1" error="Въведете коректна стойност!" sqref="D36:D39 F26:I31" xr:uid="{00000000-0002-0000-0E00-000001000000}">
      <formula1>0</formula1>
    </dataValidation>
  </dataValidations>
  <hyperlinks>
    <hyperlink ref="C5" location="'1. Отчет'!B6" tooltip="Титулна страница" display="Титулна страница" xr:uid="{00000000-0004-0000-0E00-000005000000}"/>
    <hyperlink ref="E5" location="ZimenSemestarM" tooltip="ОКС &quot;магистър&quot;" display="ОКС &quot;магистър&quot;" xr:uid="{00000000-0004-0000-0E00-000006000000}"/>
    <hyperlink ref="D5" location="'2. ОКС &quot;бакалавър&quot;'!N24" tooltip="ОКС &quot;бакалавър&quot;" display="ОКС &quot;бакалавър&quot;" xr:uid="{00000000-0004-0000-0E00-000007000000}"/>
    <hyperlink ref="I5" location="'4. ОНС &quot;доктор&quot;'!B7" tooltip="Инструкция" display="Инструкция" xr:uid="{00000000-0004-0000-0E00-000009000000}"/>
    <hyperlink ref="J5" r:id="rId1" tooltip="email: ipio@uni-sofia.bg" xr:uid="{00000000-0004-0000-0E00-00000A000000}"/>
    <hyperlink ref="E5:F5" location="'3. ОКС &quot;магистър&quot;'!N24" tooltip="ОКС &quot;магистър&quot;" display="ОКС &quot;магистър&quot;" xr:uid="{00000000-0004-0000-0E00-00000C000000}"/>
    <hyperlink ref="G5:H5" location="'5. Подготовка на курс'!B23" tooltip="Подготовка курс" display="Подготовка курс" xr:uid="{47B3B3DB-8C28-439C-BFE4-A0AC551CABF2}"/>
  </hyperlinks>
  <pageMargins left="0.39370078740157483" right="0.59055118110236227" top="0.39370078740157483" bottom="0.74803149606299213" header="0.31496062992125984" footer="0.31496062992125984"/>
  <pageSetup paperSize="9" scale="78" orientation="landscape" r:id="rId2"/>
  <headerFooter>
    <oddFooter>&amp;RПодпис:...................................................................</oddFooter>
  </headerFooter>
  <drawing r:id="rId3"/>
  <tableParts count="3">
    <tablePart r:id="rId4"/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Посочете език на преподаване!_x000a_БЕ - преподаване на български език_x000a_чужд - преподаване на чужд език" xr:uid="{00000000-0002-0000-0E00-000002000000}">
          <x14:formula1>
            <xm:f>list!$A$59:$A$60</xm:f>
          </x14:formula1>
          <xm:sqref>E26:E31</xm:sqref>
        </x14:dataValidation>
        <x14:dataValidation type="list" allowBlank="1" showInputMessage="1" showErrorMessage="1" error="За семестър въведете зимен или летен!" xr:uid="{00000000-0002-0000-0E00-000003000000}">
          <x14:formula1>
            <xm:f>INDIRECT(ПЕРИОД!$D$14)</xm:f>
          </x14:formula1>
          <xm:sqref>J26:J31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pageSetUpPr fitToPage="1"/>
  </sheetPr>
  <dimension ref="A1:AG37"/>
  <sheetViews>
    <sheetView showGridLines="0" showRowColHeaders="0" zoomScale="90" zoomScaleNormal="90" workbookViewId="0">
      <pane ySplit="5" topLeftCell="A22" activePane="bottomLeft" state="frozen"/>
      <selection activeCell="B7" sqref="B7:L7"/>
      <selection pane="bottomLeft" activeCell="B27" sqref="B27"/>
    </sheetView>
  </sheetViews>
  <sheetFormatPr defaultRowHeight="16.5" x14ac:dyDescent="0.3"/>
  <cols>
    <col min="1" max="1" width="2.28515625" style="60" customWidth="1"/>
    <col min="2" max="2" width="18" style="60" customWidth="1"/>
    <col min="3" max="3" width="16.85546875" style="60" bestFit="1" customWidth="1"/>
    <col min="4" max="4" width="42.140625" style="60" customWidth="1"/>
    <col min="5" max="5" width="9.85546875" style="60" bestFit="1" customWidth="1"/>
    <col min="6" max="6" width="34.28515625" style="61" customWidth="1"/>
    <col min="7" max="7" width="15.7109375" style="60" bestFit="1" customWidth="1"/>
    <col min="8" max="8" width="8.140625" style="60" customWidth="1"/>
    <col min="9" max="9" width="11.85546875" style="60" bestFit="1" customWidth="1"/>
    <col min="10" max="10" width="5.5703125" style="60" bestFit="1" customWidth="1"/>
    <col min="11" max="11" width="9.85546875" style="60" bestFit="1" customWidth="1"/>
    <col min="12" max="12" width="14.42578125" style="60" bestFit="1" customWidth="1"/>
    <col min="13" max="13" width="9.85546875" style="60" bestFit="1" customWidth="1"/>
    <col min="14" max="14" width="9.42578125" style="60" hidden="1" customWidth="1"/>
    <col min="15" max="15" width="6.28515625" style="60" hidden="1" customWidth="1"/>
    <col min="16" max="16" width="5.7109375" style="60" hidden="1" customWidth="1"/>
    <col min="17" max="17" width="10.5703125" style="60" hidden="1" customWidth="1"/>
    <col min="18" max="18" width="10.7109375" style="60" hidden="1" customWidth="1"/>
    <col min="19" max="19" width="5.5703125" style="60" hidden="1" customWidth="1"/>
    <col min="20" max="20" width="8.5703125" style="60" hidden="1" customWidth="1"/>
    <col min="21" max="21" width="9.28515625" style="60" hidden="1" customWidth="1"/>
    <col min="22" max="22" width="8" style="60" hidden="1" customWidth="1"/>
    <col min="23" max="23" width="20.28515625" style="60" hidden="1" customWidth="1"/>
    <col min="24" max="24" width="20.85546875" style="60" hidden="1" customWidth="1"/>
    <col min="25" max="26" width="9.140625" style="60" hidden="1" customWidth="1"/>
    <col min="27" max="27" width="14" style="60" hidden="1" customWidth="1"/>
    <col min="28" max="29" width="10.42578125" style="60" hidden="1" customWidth="1"/>
    <col min="30" max="30" width="14.5703125" style="60" hidden="1" customWidth="1"/>
    <col min="31" max="31" width="10" style="60" bestFit="1" customWidth="1"/>
    <col min="32" max="16384" width="9.140625" style="60"/>
  </cols>
  <sheetData>
    <row r="1" spans="1:33" x14ac:dyDescent="0.3">
      <c r="A1" s="59"/>
      <c r="B1" s="1595" t="str">
        <f>ПЕРИОД!D12</f>
        <v>Факултет / катедра / ----</v>
      </c>
      <c r="C1" s="1595"/>
      <c r="D1" s="1595"/>
      <c r="E1" s="1595"/>
      <c r="F1" s="1595"/>
      <c r="G1" s="1595"/>
      <c r="H1" s="1595"/>
      <c r="I1" s="1595"/>
      <c r="J1" s="1595"/>
      <c r="K1" s="1595"/>
      <c r="L1" s="1595"/>
      <c r="M1" s="1595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</row>
    <row r="2" spans="1:33" ht="18" x14ac:dyDescent="0.3">
      <c r="B2" s="1768" t="str">
        <f>ПЕРИОД!D17&amp;", подготовка на курс/електронни учебни ресурси"</f>
        <v>Индивидуален отчет, подготовка на курс/електронни учебни ресурси</v>
      </c>
      <c r="C2" s="1768"/>
      <c r="D2" s="1768"/>
      <c r="E2" s="1768"/>
      <c r="F2" s="1768"/>
      <c r="G2" s="1768"/>
      <c r="H2" s="1768"/>
      <c r="I2" s="1768"/>
      <c r="J2" s="1768"/>
      <c r="K2" s="1768"/>
      <c r="L2" s="1768"/>
      <c r="M2" s="1768"/>
    </row>
    <row r="3" spans="1:33" ht="20.25" customHeight="1" x14ac:dyDescent="0.3">
      <c r="B3" s="1769" t="s">
        <v>118</v>
      </c>
      <c r="C3" s="1769"/>
      <c r="D3" s="1769"/>
      <c r="E3" s="1769"/>
      <c r="F3" s="1769"/>
      <c r="G3" s="1769"/>
      <c r="H3" s="1769"/>
      <c r="I3" s="1769"/>
      <c r="J3" s="1769"/>
      <c r="K3" s="1769"/>
      <c r="L3" s="1769"/>
      <c r="M3" s="1769"/>
    </row>
    <row r="4" spans="1:33" ht="5.25" customHeight="1" x14ac:dyDescent="0.3"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33" ht="24.95" customHeight="1" x14ac:dyDescent="0.3">
      <c r="B5" s="1771" t="s">
        <v>1</v>
      </c>
      <c r="C5" s="1772"/>
      <c r="D5" s="668" t="s">
        <v>117</v>
      </c>
      <c r="E5" s="669"/>
      <c r="F5" s="668" t="s">
        <v>67</v>
      </c>
      <c r="G5" s="669" t="s">
        <v>68</v>
      </c>
      <c r="H5" s="666"/>
      <c r="I5" s="1773" t="s">
        <v>69</v>
      </c>
      <c r="J5" s="1773"/>
      <c r="K5" s="669"/>
      <c r="L5" s="671" t="s">
        <v>113</v>
      </c>
      <c r="M5" s="670" t="s">
        <v>119</v>
      </c>
    </row>
    <row r="6" spans="1:33" s="111" customFormat="1" ht="9" customHeight="1" thickBot="1" x14ac:dyDescent="0.35">
      <c r="B6" s="103"/>
      <c r="F6" s="112"/>
      <c r="G6" s="104"/>
      <c r="H6" s="1770"/>
      <c r="I6" s="1770"/>
      <c r="J6" s="1770"/>
      <c r="K6" s="1770"/>
      <c r="L6" s="1770"/>
      <c r="M6" s="1770"/>
    </row>
    <row r="7" spans="1:33" ht="20.25" x14ac:dyDescent="0.3">
      <c r="B7" s="1757" t="s">
        <v>112</v>
      </c>
      <c r="C7" s="1758"/>
      <c r="D7" s="1758"/>
      <c r="E7" s="1758"/>
      <c r="F7" s="1758"/>
      <c r="G7" s="1758"/>
      <c r="H7" s="1758"/>
      <c r="I7" s="1758"/>
      <c r="J7" s="1758"/>
      <c r="K7" s="1758"/>
      <c r="L7" s="1758"/>
      <c r="M7" s="1759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/>
      <c r="Z7"/>
      <c r="AA7"/>
      <c r="AB7"/>
      <c r="AC7"/>
      <c r="AD7"/>
      <c r="AE7" s="69"/>
      <c r="AF7" s="69"/>
      <c r="AG7" s="69"/>
    </row>
    <row r="8" spans="1:33" s="61" customFormat="1" x14ac:dyDescent="0.25">
      <c r="B8" s="1751" t="s">
        <v>148</v>
      </c>
      <c r="C8" s="1752"/>
      <c r="D8" s="1752"/>
      <c r="E8" s="1752"/>
      <c r="F8" s="1752"/>
      <c r="G8" s="1752"/>
      <c r="H8" s="1752"/>
      <c r="I8" s="1752"/>
      <c r="J8" s="1752"/>
      <c r="K8" s="1752"/>
      <c r="L8" s="1752"/>
      <c r="M8" s="1753"/>
    </row>
    <row r="9" spans="1:33" x14ac:dyDescent="0.3">
      <c r="B9" s="1751" t="s">
        <v>598</v>
      </c>
      <c r="C9" s="1752"/>
      <c r="D9" s="1752"/>
      <c r="E9" s="1752"/>
      <c r="F9" s="1752"/>
      <c r="G9" s="1752"/>
      <c r="H9" s="1752"/>
      <c r="I9" s="1752"/>
      <c r="J9" s="1752"/>
      <c r="K9" s="1752"/>
      <c r="L9" s="1752"/>
      <c r="M9" s="1753"/>
    </row>
    <row r="10" spans="1:33" ht="36" customHeight="1" x14ac:dyDescent="0.3">
      <c r="B10" s="1754" t="s">
        <v>201</v>
      </c>
      <c r="C10" s="1755"/>
      <c r="D10" s="1755"/>
      <c r="E10" s="1755"/>
      <c r="F10" s="1755"/>
      <c r="G10" s="1755"/>
      <c r="H10" s="1755"/>
      <c r="I10" s="1755"/>
      <c r="J10" s="1755"/>
      <c r="K10" s="1755"/>
      <c r="L10" s="1755"/>
      <c r="M10" s="1756"/>
    </row>
    <row r="11" spans="1:33" s="61" customFormat="1" x14ac:dyDescent="0.25">
      <c r="B11" s="1750" t="s">
        <v>494</v>
      </c>
      <c r="C11" s="1748"/>
      <c r="D11" s="1748"/>
      <c r="E11" s="1748"/>
      <c r="F11" s="1748"/>
      <c r="G11" s="1748"/>
      <c r="H11" s="1748"/>
      <c r="I11" s="1748"/>
      <c r="J11" s="1748"/>
      <c r="K11" s="1748"/>
      <c r="L11" s="1748"/>
      <c r="M11" s="1749"/>
    </row>
    <row r="12" spans="1:33" s="61" customFormat="1" x14ac:dyDescent="0.25">
      <c r="B12" s="1750" t="s">
        <v>672</v>
      </c>
      <c r="C12" s="1748"/>
      <c r="D12" s="1748"/>
      <c r="E12" s="1748"/>
      <c r="F12" s="1748"/>
      <c r="G12" s="1748"/>
      <c r="H12" s="1748"/>
      <c r="I12" s="1748"/>
      <c r="J12" s="1748"/>
      <c r="K12" s="1748"/>
      <c r="L12" s="1748"/>
      <c r="M12" s="1749"/>
    </row>
    <row r="13" spans="1:33" ht="35.25" customHeight="1" x14ac:dyDescent="0.3">
      <c r="B13" s="1751" t="s">
        <v>673</v>
      </c>
      <c r="C13" s="1752"/>
      <c r="D13" s="1752"/>
      <c r="E13" s="1752"/>
      <c r="F13" s="1752"/>
      <c r="G13" s="1752"/>
      <c r="H13" s="1752"/>
      <c r="I13" s="1752"/>
      <c r="J13" s="1752"/>
      <c r="K13" s="1752"/>
      <c r="L13" s="1752"/>
      <c r="M13" s="1753"/>
    </row>
    <row r="14" spans="1:33" s="61" customFormat="1" x14ac:dyDescent="0.25">
      <c r="B14" s="1750" t="s">
        <v>674</v>
      </c>
      <c r="C14" s="1748"/>
      <c r="D14" s="1748"/>
      <c r="E14" s="1748"/>
      <c r="F14" s="1748"/>
      <c r="G14" s="1748"/>
      <c r="H14" s="1748"/>
      <c r="I14" s="1748"/>
      <c r="J14" s="1748"/>
      <c r="K14" s="1748"/>
      <c r="L14" s="1748"/>
      <c r="M14" s="1749"/>
    </row>
    <row r="15" spans="1:33" x14ac:dyDescent="0.3">
      <c r="B15" s="1751" t="s">
        <v>662</v>
      </c>
      <c r="C15" s="1752"/>
      <c r="D15" s="1752"/>
      <c r="E15" s="1752"/>
      <c r="F15" s="1752"/>
      <c r="G15" s="1752"/>
      <c r="H15" s="1752"/>
      <c r="I15" s="1752"/>
      <c r="J15" s="1752"/>
      <c r="K15" s="1752"/>
      <c r="L15" s="1752"/>
      <c r="M15" s="1753"/>
    </row>
    <row r="16" spans="1:33" x14ac:dyDescent="0.3">
      <c r="B16" s="1750" t="s">
        <v>663</v>
      </c>
      <c r="C16" s="1748"/>
      <c r="D16" s="1748"/>
      <c r="E16" s="1748"/>
      <c r="F16" s="1748"/>
      <c r="G16" s="1748"/>
      <c r="H16" s="1748"/>
      <c r="I16" s="1748"/>
      <c r="J16" s="1748"/>
      <c r="K16" s="1748"/>
      <c r="L16" s="1748"/>
      <c r="M16" s="1749"/>
    </row>
    <row r="17" spans="2:30" s="61" customFormat="1" x14ac:dyDescent="0.25">
      <c r="B17" s="1750" t="s">
        <v>664</v>
      </c>
      <c r="C17" s="1748"/>
      <c r="D17" s="1748"/>
      <c r="E17" s="1748"/>
      <c r="F17" s="1748"/>
      <c r="G17" s="1748"/>
      <c r="H17" s="1748"/>
      <c r="I17" s="1748"/>
      <c r="J17" s="1748"/>
      <c r="K17" s="1748"/>
      <c r="L17" s="1748"/>
      <c r="M17" s="1749"/>
    </row>
    <row r="18" spans="2:30" s="61" customFormat="1" x14ac:dyDescent="0.25">
      <c r="B18" s="1750" t="s">
        <v>666</v>
      </c>
      <c r="C18" s="1748"/>
      <c r="D18" s="1748"/>
      <c r="E18" s="1748"/>
      <c r="F18" s="1748"/>
      <c r="G18" s="1748"/>
      <c r="H18" s="1748"/>
      <c r="I18" s="1748"/>
      <c r="J18" s="1748"/>
      <c r="K18" s="1748"/>
      <c r="L18" s="1748"/>
      <c r="M18" s="1749"/>
    </row>
    <row r="19" spans="2:30" s="61" customFormat="1" x14ac:dyDescent="0.25">
      <c r="B19" s="1747" t="s">
        <v>665</v>
      </c>
      <c r="C19" s="1748"/>
      <c r="D19" s="1748"/>
      <c r="E19" s="1748"/>
      <c r="F19" s="1748"/>
      <c r="G19" s="1748"/>
      <c r="H19" s="1748"/>
      <c r="I19" s="1748"/>
      <c r="J19" s="1748"/>
      <c r="K19" s="1748"/>
      <c r="L19" s="1748"/>
      <c r="M19" s="1749"/>
    </row>
    <row r="20" spans="2:30" s="61" customFormat="1" x14ac:dyDescent="0.25">
      <c r="B20" s="1750" t="s">
        <v>671</v>
      </c>
      <c r="C20" s="1748"/>
      <c r="D20" s="1748"/>
      <c r="E20" s="1748"/>
      <c r="F20" s="1748"/>
      <c r="G20" s="1748"/>
      <c r="H20" s="1748"/>
      <c r="I20" s="1748"/>
      <c r="J20" s="1748"/>
      <c r="K20" s="1748"/>
      <c r="L20" s="1748"/>
      <c r="M20" s="1749"/>
    </row>
    <row r="21" spans="2:30" s="61" customFormat="1" ht="17.25" thickBot="1" x14ac:dyDescent="0.3">
      <c r="B21" s="1774" t="s">
        <v>667</v>
      </c>
      <c r="C21" s="1775"/>
      <c r="D21" s="1775"/>
      <c r="E21" s="1775"/>
      <c r="F21" s="1775"/>
      <c r="G21" s="1775"/>
      <c r="H21" s="1775"/>
      <c r="I21" s="1775"/>
      <c r="J21" s="1775"/>
      <c r="K21" s="1775"/>
      <c r="L21" s="1775"/>
      <c r="M21" s="1776"/>
    </row>
    <row r="22" spans="2:30" ht="9.9499999999999993" customHeight="1" x14ac:dyDescent="0.3"/>
    <row r="23" spans="2:30" ht="18" thickBot="1" x14ac:dyDescent="0.35">
      <c r="B23" s="1731" t="s">
        <v>205</v>
      </c>
      <c r="C23" s="1732"/>
      <c r="D23" s="1732"/>
      <c r="E23" s="1732"/>
      <c r="F23" s="1732"/>
      <c r="G23" s="1732"/>
      <c r="H23" s="1732"/>
      <c r="I23" s="1732"/>
      <c r="J23" s="1732"/>
      <c r="K23" s="1732"/>
      <c r="L23" s="1732"/>
      <c r="M23" s="1732"/>
    </row>
    <row r="24" spans="2:30" s="62" customFormat="1" ht="17.25" customHeight="1" x14ac:dyDescent="0.25">
      <c r="B24" s="1745" t="s">
        <v>121</v>
      </c>
      <c r="C24" s="1733" t="s">
        <v>470</v>
      </c>
      <c r="D24" s="1743" t="s">
        <v>133</v>
      </c>
      <c r="E24" s="1733" t="s">
        <v>134</v>
      </c>
      <c r="F24" s="1743" t="s">
        <v>135</v>
      </c>
      <c r="G24" s="1741" t="s">
        <v>18</v>
      </c>
      <c r="H24" s="1739" t="s">
        <v>19</v>
      </c>
      <c r="I24" s="1737" t="s">
        <v>569</v>
      </c>
      <c r="J24" s="1735" t="s">
        <v>21</v>
      </c>
      <c r="K24" s="1741" t="s">
        <v>588</v>
      </c>
      <c r="L24" s="1710"/>
      <c r="M24" s="1733" t="s">
        <v>136</v>
      </c>
      <c r="N24" s="1760" t="s">
        <v>759</v>
      </c>
      <c r="O24" s="1764"/>
      <c r="P24" s="1764"/>
      <c r="Q24" s="1764"/>
      <c r="R24" s="1764"/>
      <c r="S24" s="1764"/>
      <c r="T24" s="1764"/>
      <c r="U24" s="1760" t="s">
        <v>313</v>
      </c>
      <c r="V24" s="1764"/>
      <c r="W24" s="1760" t="s">
        <v>134</v>
      </c>
      <c r="X24" s="1761"/>
      <c r="Y24"/>
      <c r="Z24"/>
      <c r="AA24"/>
      <c r="AB24"/>
      <c r="AC24"/>
      <c r="AD24"/>
    </row>
    <row r="25" spans="2:30" s="62" customFormat="1" ht="17.25" thickBot="1" x14ac:dyDescent="0.3">
      <c r="B25" s="1746"/>
      <c r="C25" s="1734"/>
      <c r="D25" s="1744"/>
      <c r="E25" s="1734"/>
      <c r="F25" s="1744"/>
      <c r="G25" s="1742"/>
      <c r="H25" s="1740"/>
      <c r="I25" s="1738"/>
      <c r="J25" s="1736"/>
      <c r="K25" s="513" t="s">
        <v>329</v>
      </c>
      <c r="L25" s="504" t="s">
        <v>393</v>
      </c>
      <c r="M25" s="1734"/>
      <c r="N25" s="1765"/>
      <c r="O25" s="1766"/>
      <c r="P25" s="1766"/>
      <c r="Q25" s="1766"/>
      <c r="R25" s="1766"/>
      <c r="S25" s="1766"/>
      <c r="T25" s="1766"/>
      <c r="U25" s="1762"/>
      <c r="V25" s="1767"/>
      <c r="W25" s="1762"/>
      <c r="X25" s="1763"/>
      <c r="Y25"/>
      <c r="Z25"/>
      <c r="AA25"/>
      <c r="AB25"/>
      <c r="AC25"/>
      <c r="AD25"/>
    </row>
    <row r="26" spans="2:30" s="62" customFormat="1" ht="17.25" hidden="1" thickBot="1" x14ac:dyDescent="0.3">
      <c r="B26" s="234" t="s">
        <v>121</v>
      </c>
      <c r="C26" s="235" t="s">
        <v>632</v>
      </c>
      <c r="D26" s="234" t="s">
        <v>469</v>
      </c>
      <c r="E26" s="235" t="s">
        <v>134</v>
      </c>
      <c r="F26" s="234" t="s">
        <v>468</v>
      </c>
      <c r="G26" s="236" t="s">
        <v>18</v>
      </c>
      <c r="H26" s="234" t="s">
        <v>19</v>
      </c>
      <c r="I26" s="237" t="s">
        <v>630</v>
      </c>
      <c r="J26" s="235" t="s">
        <v>21</v>
      </c>
      <c r="K26" s="236" t="s">
        <v>334</v>
      </c>
      <c r="L26" s="237" t="s">
        <v>342</v>
      </c>
      <c r="M26" s="237" t="s">
        <v>136</v>
      </c>
      <c r="N26" s="179" t="s">
        <v>407</v>
      </c>
      <c r="O26" s="179" t="s">
        <v>408</v>
      </c>
      <c r="P26" s="179" t="s">
        <v>406</v>
      </c>
      <c r="Q26" s="179" t="s">
        <v>669</v>
      </c>
      <c r="R26" s="179" t="s">
        <v>670</v>
      </c>
      <c r="S26" s="179" t="s">
        <v>760</v>
      </c>
      <c r="T26" s="179" t="s">
        <v>758</v>
      </c>
      <c r="U26" s="805" t="s">
        <v>755</v>
      </c>
      <c r="V26" s="806" t="s">
        <v>756</v>
      </c>
      <c r="W26" s="809" t="s">
        <v>692</v>
      </c>
      <c r="X26" s="810" t="s">
        <v>693</v>
      </c>
    </row>
    <row r="27" spans="2:30" x14ac:dyDescent="0.3">
      <c r="B27" s="701"/>
      <c r="C27" s="801"/>
      <c r="D27" s="701"/>
      <c r="E27" s="702"/>
      <c r="F27" s="701"/>
      <c r="G27" s="703"/>
      <c r="H27" s="704"/>
      <c r="I27" s="705"/>
      <c r="J27" s="706" t="s">
        <v>84</v>
      </c>
      <c r="K27" s="712"/>
      <c r="L27" s="713"/>
      <c r="M27" s="705"/>
      <c r="N27" s="820">
        <f>Подготовка_курс[[#This Row],[пПразни]]*(LEN(Подготовка_курс[[#This Row],[Дейност]])=0)</f>
        <v>0</v>
      </c>
      <c r="O27" s="820">
        <f>Подготовка_курс[[#This Row],[пПразни]]*(LEN(Подготовка_курс[[#This Row],[Екип]])=0)</f>
        <v>0</v>
      </c>
      <c r="P27" s="820">
        <f>Подготовка_курс[[#This Row],[пПразни]]*(LEN(Подготовка_курс[[#This Row],[ОКС]])=0)</f>
        <v>0</v>
      </c>
      <c r="Q27" s="820">
        <f>Подготовка_курс[[#This Row],[пПразни]]*(LEN(Подготовка_курс[[#This Row],[ФормаОб]])=0)</f>
        <v>0</v>
      </c>
      <c r="R27" s="821">
        <f>Подготовка_курс[[#This Row],[пПразни]]*(LEN(Подготовка_курс[[#This Row],[Семестър]])=0)</f>
        <v>0</v>
      </c>
      <c r="S27" s="821">
        <f>Подготовка_курс[[#This Row],[пПразни]]*(SUM(Подготовка_курс[[#This Row],[Лекции]:[Упражнения]])=0)</f>
        <v>0</v>
      </c>
      <c r="T27" s="820">
        <f>((12-COUNTBLANK(Подготовка_курс[[#This Row],[Дейност]:[Семестър]]))&gt;1)*1</f>
        <v>0</v>
      </c>
      <c r="U27" s="822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7" s="823">
        <f>IFERROR(SUM(Подготовка_курс[[#This Row],[Лекции]:[Упражнения]])*Подготовка_курс[[#This Row],[кДейност]]/Подготовка_курс[[#This Row],[Екип]],0)</f>
        <v>0</v>
      </c>
      <c r="W27" s="81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7" s="814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28" spans="2:30" x14ac:dyDescent="0.3">
      <c r="B28" s="701"/>
      <c r="C28" s="801"/>
      <c r="D28" s="701"/>
      <c r="E28" s="702"/>
      <c r="F28" s="701"/>
      <c r="G28" s="703"/>
      <c r="H28" s="704"/>
      <c r="I28" s="705"/>
      <c r="J28" s="706" t="s">
        <v>84</v>
      </c>
      <c r="K28" s="712"/>
      <c r="L28" s="713"/>
      <c r="M28" s="705"/>
      <c r="N28" s="820">
        <f>Подготовка_курс[[#This Row],[пПразни]]*(LEN(Подготовка_курс[[#This Row],[Дейност]])=0)</f>
        <v>0</v>
      </c>
      <c r="O28" s="820">
        <f>Подготовка_курс[[#This Row],[пПразни]]*(LEN(Подготовка_курс[[#This Row],[Екип]])=0)</f>
        <v>0</v>
      </c>
      <c r="P28" s="820">
        <f>Подготовка_курс[[#This Row],[пПразни]]*(LEN(Подготовка_курс[[#This Row],[ОКС]])=0)</f>
        <v>0</v>
      </c>
      <c r="Q28" s="820">
        <f>Подготовка_курс[[#This Row],[пПразни]]*(LEN(Подготовка_курс[[#This Row],[ФормаОб]])=0)</f>
        <v>0</v>
      </c>
      <c r="R28" s="821">
        <f>Подготовка_курс[[#This Row],[пПразни]]*(LEN(Подготовка_курс[[#This Row],[Семестър]])=0)</f>
        <v>0</v>
      </c>
      <c r="S28" s="821">
        <f>Подготовка_курс[[#This Row],[пПразни]]*(SUM(Подготовка_курс[[#This Row],[Лекции]:[Упражнения]])=0)</f>
        <v>0</v>
      </c>
      <c r="T28" s="820">
        <f>((12-COUNTBLANK(Подготовка_курс[[#This Row],[Дейност]:[Семестър]]))&gt;1)*1</f>
        <v>0</v>
      </c>
      <c r="U28" s="824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8" s="825">
        <f>IFERROR(SUM(Подготовка_курс[[#This Row],[Лекции]:[Упражнения]])*Подготовка_курс[[#This Row],[кДейност]]/Подготовка_курс[[#This Row],[Екип]],0)</f>
        <v>0</v>
      </c>
      <c r="W28" s="81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8" s="814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29" spans="2:30" x14ac:dyDescent="0.3">
      <c r="B29" s="701"/>
      <c r="C29" s="801"/>
      <c r="D29" s="701"/>
      <c r="E29" s="702"/>
      <c r="F29" s="701"/>
      <c r="G29" s="703"/>
      <c r="H29" s="704"/>
      <c r="I29" s="705"/>
      <c r="J29" s="706" t="s">
        <v>84</v>
      </c>
      <c r="K29" s="712"/>
      <c r="L29" s="713"/>
      <c r="M29" s="705"/>
      <c r="N29" s="820">
        <f>Подготовка_курс[[#This Row],[пПразни]]*(LEN(Подготовка_курс[[#This Row],[Дейност]])=0)</f>
        <v>0</v>
      </c>
      <c r="O29" s="820">
        <f>Подготовка_курс[[#This Row],[пПразни]]*(LEN(Подготовка_курс[[#This Row],[Екип]])=0)</f>
        <v>0</v>
      </c>
      <c r="P29" s="820">
        <f>Подготовка_курс[[#This Row],[пПразни]]*(LEN(Подготовка_курс[[#This Row],[ОКС]])=0)</f>
        <v>0</v>
      </c>
      <c r="Q29" s="820">
        <f>Подготовка_курс[[#This Row],[пПразни]]*(LEN(Подготовка_курс[[#This Row],[ФормаОб]])=0)</f>
        <v>0</v>
      </c>
      <c r="R29" s="821">
        <f>Подготовка_курс[[#This Row],[пПразни]]*(LEN(Подготовка_курс[[#This Row],[Семестър]])=0)</f>
        <v>0</v>
      </c>
      <c r="S29" s="821">
        <f>Подготовка_курс[[#This Row],[пПразни]]*(SUM(Подготовка_курс[[#This Row],[Лекции]:[Упражнения]])=0)</f>
        <v>0</v>
      </c>
      <c r="T29" s="820">
        <f>((12-COUNTBLANK(Подготовка_курс[[#This Row],[Дейност]:[Семестър]]))&gt;1)*1</f>
        <v>0</v>
      </c>
      <c r="U29" s="824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29" s="825">
        <f>IFERROR(SUM(Подготовка_курс[[#This Row],[Лекции]:[Упражнения]])*Подготовка_курс[[#This Row],[кДейност]]/Подготовка_курс[[#This Row],[Екип]],0)</f>
        <v>0</v>
      </c>
      <c r="W29" s="81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29" s="814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0" spans="2:30" x14ac:dyDescent="0.3">
      <c r="B30" s="701"/>
      <c r="C30" s="801"/>
      <c r="D30" s="701"/>
      <c r="E30" s="702"/>
      <c r="F30" s="701"/>
      <c r="G30" s="703"/>
      <c r="H30" s="704"/>
      <c r="I30" s="705"/>
      <c r="J30" s="706" t="s">
        <v>84</v>
      </c>
      <c r="K30" s="712"/>
      <c r="L30" s="713"/>
      <c r="M30" s="705"/>
      <c r="N30" s="820">
        <f>Подготовка_курс[[#This Row],[пПразни]]*(LEN(Подготовка_курс[[#This Row],[Дейност]])=0)</f>
        <v>0</v>
      </c>
      <c r="O30" s="820">
        <f>Подготовка_курс[[#This Row],[пПразни]]*(LEN(Подготовка_курс[[#This Row],[Екип]])=0)</f>
        <v>0</v>
      </c>
      <c r="P30" s="820">
        <f>Подготовка_курс[[#This Row],[пПразни]]*(LEN(Подготовка_курс[[#This Row],[ОКС]])=0)</f>
        <v>0</v>
      </c>
      <c r="Q30" s="820">
        <f>Подготовка_курс[[#This Row],[пПразни]]*(LEN(Подготовка_курс[[#This Row],[ФормаОб]])=0)</f>
        <v>0</v>
      </c>
      <c r="R30" s="821">
        <f>Подготовка_курс[[#This Row],[пПразни]]*(LEN(Подготовка_курс[[#This Row],[Семестър]])=0)</f>
        <v>0</v>
      </c>
      <c r="S30" s="821">
        <f>Подготовка_курс[[#This Row],[пПразни]]*(SUM(Подготовка_курс[[#This Row],[Лекции]:[Упражнения]])=0)</f>
        <v>0</v>
      </c>
      <c r="T30" s="820">
        <f>((12-COUNTBLANK(Подготовка_курс[[#This Row],[Дейност]:[Семестър]]))&gt;1)*1</f>
        <v>0</v>
      </c>
      <c r="U30" s="824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0" s="825">
        <f>IFERROR(SUM(Подготовка_курс[[#This Row],[Лекции]:[Упражнения]])*Подготовка_курс[[#This Row],[кДейност]]/Подготовка_курс[[#This Row],[Екип]],0)</f>
        <v>0</v>
      </c>
      <c r="W30" s="81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0" s="814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1" spans="2:30" x14ac:dyDescent="0.3">
      <c r="B31" s="701"/>
      <c r="C31" s="801"/>
      <c r="D31" s="701"/>
      <c r="E31" s="702"/>
      <c r="F31" s="701"/>
      <c r="G31" s="703"/>
      <c r="H31" s="704"/>
      <c r="I31" s="705"/>
      <c r="J31" s="706" t="s">
        <v>84</v>
      </c>
      <c r="K31" s="712"/>
      <c r="L31" s="713"/>
      <c r="M31" s="705"/>
      <c r="N31" s="820">
        <f>Подготовка_курс[[#This Row],[пПразни]]*(LEN(Подготовка_курс[[#This Row],[Дейност]])=0)</f>
        <v>0</v>
      </c>
      <c r="O31" s="820">
        <f>Подготовка_курс[[#This Row],[пПразни]]*(LEN(Подготовка_курс[[#This Row],[Екип]])=0)</f>
        <v>0</v>
      </c>
      <c r="P31" s="820">
        <f>Подготовка_курс[[#This Row],[пПразни]]*(LEN(Подготовка_курс[[#This Row],[ОКС]])=0)</f>
        <v>0</v>
      </c>
      <c r="Q31" s="820">
        <f>Подготовка_курс[[#This Row],[пПразни]]*(LEN(Подготовка_курс[[#This Row],[ФормаОб]])=0)</f>
        <v>0</v>
      </c>
      <c r="R31" s="821">
        <f>Подготовка_курс[[#This Row],[пПразни]]*(LEN(Подготовка_курс[[#This Row],[Семестър]])=0)</f>
        <v>0</v>
      </c>
      <c r="S31" s="821">
        <f>Подготовка_курс[[#This Row],[пПразни]]*(SUM(Подготовка_курс[[#This Row],[Лекции]:[Упражнения]])=0)</f>
        <v>0</v>
      </c>
      <c r="T31" s="820">
        <f>((12-COUNTBLANK(Подготовка_курс[[#This Row],[Дейност]:[Семестър]]))&gt;1)*1</f>
        <v>0</v>
      </c>
      <c r="U31" s="824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1" s="825">
        <f>IFERROR(SUM(Подготовка_курс[[#This Row],[Лекции]:[Упражнения]])*Подготовка_курс[[#This Row],[кДейност]]/Подготовка_курс[[#This Row],[Екип]],0)</f>
        <v>0</v>
      </c>
      <c r="W31" s="81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1" s="814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2" spans="2:30" x14ac:dyDescent="0.3">
      <c r="B32" s="701"/>
      <c r="C32" s="801"/>
      <c r="D32" s="701"/>
      <c r="E32" s="702"/>
      <c r="F32" s="701"/>
      <c r="G32" s="703"/>
      <c r="H32" s="704"/>
      <c r="I32" s="705"/>
      <c r="J32" s="706" t="s">
        <v>84</v>
      </c>
      <c r="K32" s="712"/>
      <c r="L32" s="713"/>
      <c r="M32" s="705"/>
      <c r="N32" s="820">
        <f>Подготовка_курс[[#This Row],[пПразни]]*(LEN(Подготовка_курс[[#This Row],[Дейност]])=0)</f>
        <v>0</v>
      </c>
      <c r="O32" s="820">
        <f>Подготовка_курс[[#This Row],[пПразни]]*(LEN(Подготовка_курс[[#This Row],[Екип]])=0)</f>
        <v>0</v>
      </c>
      <c r="P32" s="820">
        <f>Подготовка_курс[[#This Row],[пПразни]]*(LEN(Подготовка_курс[[#This Row],[ОКС]])=0)</f>
        <v>0</v>
      </c>
      <c r="Q32" s="820">
        <f>Подготовка_курс[[#This Row],[пПразни]]*(LEN(Подготовка_курс[[#This Row],[ФормаОб]])=0)</f>
        <v>0</v>
      </c>
      <c r="R32" s="821">
        <f>Подготовка_курс[[#This Row],[пПразни]]*(LEN(Подготовка_курс[[#This Row],[Семестър]])=0)</f>
        <v>0</v>
      </c>
      <c r="S32" s="821">
        <f>Подготовка_курс[[#This Row],[пПразни]]*(SUM(Подготовка_курс[[#This Row],[Лекции]:[Упражнения]])=0)</f>
        <v>0</v>
      </c>
      <c r="T32" s="820">
        <f>((12-COUNTBLANK(Подготовка_курс[[#This Row],[Дейност]:[Семестър]]))&gt;1)*1</f>
        <v>0</v>
      </c>
      <c r="U32" s="824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2" s="825">
        <f>IFERROR(SUM(Подготовка_курс[[#This Row],[Лекции]:[Упражнения]])*Подготовка_курс[[#This Row],[кДейност]]/Подготовка_курс[[#This Row],[Екип]],0)</f>
        <v>0</v>
      </c>
      <c r="W32" s="81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2" s="814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3" spans="2:24" x14ac:dyDescent="0.3">
      <c r="B33" s="701"/>
      <c r="C33" s="801"/>
      <c r="D33" s="701"/>
      <c r="E33" s="702"/>
      <c r="F33" s="701"/>
      <c r="G33" s="703"/>
      <c r="H33" s="704"/>
      <c r="I33" s="705"/>
      <c r="J33" s="706" t="s">
        <v>84</v>
      </c>
      <c r="K33" s="712"/>
      <c r="L33" s="713"/>
      <c r="M33" s="705"/>
      <c r="N33" s="820">
        <f>Подготовка_курс[[#This Row],[пПразни]]*(LEN(Подготовка_курс[[#This Row],[Дейност]])=0)</f>
        <v>0</v>
      </c>
      <c r="O33" s="820">
        <f>Подготовка_курс[[#This Row],[пПразни]]*(LEN(Подготовка_курс[[#This Row],[Екип]])=0)</f>
        <v>0</v>
      </c>
      <c r="P33" s="820">
        <f>Подготовка_курс[[#This Row],[пПразни]]*(LEN(Подготовка_курс[[#This Row],[ОКС]])=0)</f>
        <v>0</v>
      </c>
      <c r="Q33" s="820">
        <f>Подготовка_курс[[#This Row],[пПразни]]*(LEN(Подготовка_курс[[#This Row],[ФормаОб]])=0)</f>
        <v>0</v>
      </c>
      <c r="R33" s="821">
        <f>Подготовка_курс[[#This Row],[пПразни]]*(LEN(Подготовка_курс[[#This Row],[Семестър]])=0)</f>
        <v>0</v>
      </c>
      <c r="S33" s="821">
        <f>Подготовка_курс[[#This Row],[пПразни]]*(SUM(Подготовка_курс[[#This Row],[Лекции]:[Упражнения]])=0)</f>
        <v>0</v>
      </c>
      <c r="T33" s="820">
        <f>((12-COUNTBLANK(Подготовка_курс[[#This Row],[Дейност]:[Семестър]]))&gt;1)*1</f>
        <v>0</v>
      </c>
      <c r="U33" s="824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3" s="825">
        <f>IFERROR(SUM(Подготовка_курс[[#This Row],[Лекции]:[Упражнения]])*Подготовка_курс[[#This Row],[кДейност]]/Подготовка_курс[[#This Row],[Екип]],0)</f>
        <v>0</v>
      </c>
      <c r="W33" s="81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3" s="814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4" spans="2:24" x14ac:dyDescent="0.3">
      <c r="B34" s="701"/>
      <c r="C34" s="801"/>
      <c r="D34" s="701"/>
      <c r="E34" s="702"/>
      <c r="F34" s="701"/>
      <c r="G34" s="703"/>
      <c r="H34" s="704"/>
      <c r="I34" s="705"/>
      <c r="J34" s="706" t="s">
        <v>84</v>
      </c>
      <c r="K34" s="712"/>
      <c r="L34" s="713"/>
      <c r="M34" s="705"/>
      <c r="N34" s="820">
        <f>Подготовка_курс[[#This Row],[пПразни]]*(LEN(Подготовка_курс[[#This Row],[Дейност]])=0)</f>
        <v>0</v>
      </c>
      <c r="O34" s="820">
        <f>Подготовка_курс[[#This Row],[пПразни]]*(LEN(Подготовка_курс[[#This Row],[Екип]])=0)</f>
        <v>0</v>
      </c>
      <c r="P34" s="820">
        <f>Подготовка_курс[[#This Row],[пПразни]]*(LEN(Подготовка_курс[[#This Row],[ОКС]])=0)</f>
        <v>0</v>
      </c>
      <c r="Q34" s="820">
        <f>Подготовка_курс[[#This Row],[пПразни]]*(LEN(Подготовка_курс[[#This Row],[ФормаОб]])=0)</f>
        <v>0</v>
      </c>
      <c r="R34" s="821">
        <f>Подготовка_курс[[#This Row],[пПразни]]*(LEN(Подготовка_курс[[#This Row],[Семестър]])=0)</f>
        <v>0</v>
      </c>
      <c r="S34" s="821">
        <f>Подготовка_курс[[#This Row],[пПразни]]*(SUM(Подготовка_курс[[#This Row],[Лекции]:[Упражнения]])=0)</f>
        <v>0</v>
      </c>
      <c r="T34" s="820">
        <f>((12-COUNTBLANK(Подготовка_курс[[#This Row],[Дейност]:[Семестър]]))&gt;1)*1</f>
        <v>0</v>
      </c>
      <c r="U34" s="824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4" s="825">
        <f>IFERROR(SUM(Подготовка_курс[[#This Row],[Лекции]:[Упражнения]])*Подготовка_курс[[#This Row],[кДейност]]/Подготовка_курс[[#This Row],[Екип]],0)</f>
        <v>0</v>
      </c>
      <c r="W34" s="81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4" s="814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5" spans="2:24" x14ac:dyDescent="0.3">
      <c r="B35" s="701"/>
      <c r="C35" s="801"/>
      <c r="D35" s="701"/>
      <c r="E35" s="702"/>
      <c r="F35" s="701"/>
      <c r="G35" s="703"/>
      <c r="H35" s="704"/>
      <c r="I35" s="705"/>
      <c r="J35" s="706" t="s">
        <v>84</v>
      </c>
      <c r="K35" s="712"/>
      <c r="L35" s="713"/>
      <c r="M35" s="705"/>
      <c r="N35" s="820">
        <f>Подготовка_курс[[#This Row],[пПразни]]*(LEN(Подготовка_курс[[#This Row],[Дейност]])=0)</f>
        <v>0</v>
      </c>
      <c r="O35" s="820">
        <f>Подготовка_курс[[#This Row],[пПразни]]*(LEN(Подготовка_курс[[#This Row],[Екип]])=0)</f>
        <v>0</v>
      </c>
      <c r="P35" s="820">
        <f>Подготовка_курс[[#This Row],[пПразни]]*(LEN(Подготовка_курс[[#This Row],[ОКС]])=0)</f>
        <v>0</v>
      </c>
      <c r="Q35" s="820">
        <f>Подготовка_курс[[#This Row],[пПразни]]*(LEN(Подготовка_курс[[#This Row],[ФормаОб]])=0)</f>
        <v>0</v>
      </c>
      <c r="R35" s="821">
        <f>Подготовка_курс[[#This Row],[пПразни]]*(LEN(Подготовка_курс[[#This Row],[Семестър]])=0)</f>
        <v>0</v>
      </c>
      <c r="S35" s="821">
        <f>Подготовка_курс[[#This Row],[пПразни]]*(SUM(Подготовка_курс[[#This Row],[Лекции]:[Упражнения]])=0)</f>
        <v>0</v>
      </c>
      <c r="T35" s="820">
        <f>((12-COUNTBLANK(Подготовка_курс[[#This Row],[Дейност]:[Семестър]]))&gt;1)*1</f>
        <v>0</v>
      </c>
      <c r="U35" s="824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5" s="825">
        <f>IFERROR(SUM(Подготовка_курс[[#This Row],[Лекции]:[Упражнения]])*Подготовка_курс[[#This Row],[кДейност]]/Подготовка_курс[[#This Row],[Екип]],0)</f>
        <v>0</v>
      </c>
      <c r="W35" s="81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5" s="814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6" spans="2:24" x14ac:dyDescent="0.3">
      <c r="B36" s="701"/>
      <c r="C36" s="801"/>
      <c r="D36" s="701"/>
      <c r="E36" s="702"/>
      <c r="F36" s="701"/>
      <c r="G36" s="703"/>
      <c r="H36" s="704"/>
      <c r="I36" s="705"/>
      <c r="J36" s="706" t="s">
        <v>84</v>
      </c>
      <c r="K36" s="712"/>
      <c r="L36" s="713"/>
      <c r="M36" s="705"/>
      <c r="N36" s="820">
        <f>Подготовка_курс[[#This Row],[пПразни]]*(LEN(Подготовка_курс[[#This Row],[Дейност]])=0)</f>
        <v>0</v>
      </c>
      <c r="O36" s="820">
        <f>Подготовка_курс[[#This Row],[пПразни]]*(LEN(Подготовка_курс[[#This Row],[Екип]])=0)</f>
        <v>0</v>
      </c>
      <c r="P36" s="820">
        <f>Подготовка_курс[[#This Row],[пПразни]]*(LEN(Подготовка_курс[[#This Row],[ОКС]])=0)</f>
        <v>0</v>
      </c>
      <c r="Q36" s="820">
        <f>Подготовка_курс[[#This Row],[пПразни]]*(LEN(Подготовка_курс[[#This Row],[ФормаОб]])=0)</f>
        <v>0</v>
      </c>
      <c r="R36" s="821">
        <f>Подготовка_курс[[#This Row],[пПразни]]*(LEN(Подготовка_курс[[#This Row],[Семестър]])=0)</f>
        <v>0</v>
      </c>
      <c r="S36" s="821">
        <f>Подготовка_курс[[#This Row],[пПразни]]*(SUM(Подготовка_курс[[#This Row],[Лекции]:[Упражнения]])=0)</f>
        <v>0</v>
      </c>
      <c r="T36" s="820">
        <f>((12-COUNTBLANK(Подготовка_курс[[#This Row],[Дейност]:[Семестър]]))&gt;1)*1</f>
        <v>0</v>
      </c>
      <c r="U36" s="824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6" s="825">
        <f>IFERROR(SUM(Подготовка_курс[[#This Row],[Лекции]:[Упражнения]])*Подготовка_курс[[#This Row],[кДейност]]/Подготовка_курс[[#This Row],[Екип]],0)</f>
        <v>0</v>
      </c>
      <c r="W36" s="812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6" s="814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  <row r="37" spans="2:24" ht="17.25" thickBot="1" x14ac:dyDescent="0.35">
      <c r="B37" s="701"/>
      <c r="C37" s="811"/>
      <c r="D37" s="701"/>
      <c r="E37" s="707"/>
      <c r="F37" s="701"/>
      <c r="G37" s="708"/>
      <c r="H37" s="709"/>
      <c r="I37" s="710"/>
      <c r="J37" s="711" t="s">
        <v>84</v>
      </c>
      <c r="K37" s="714"/>
      <c r="L37" s="715"/>
      <c r="M37" s="710"/>
      <c r="N37" s="820">
        <f>Подготовка_курс[[#This Row],[пПразни]]*(LEN(Подготовка_курс[[#This Row],[Дейност]])=0)</f>
        <v>0</v>
      </c>
      <c r="O37" s="820">
        <f>Подготовка_курс[[#This Row],[пПразни]]*(LEN(Подготовка_курс[[#This Row],[Екип]])=0)</f>
        <v>0</v>
      </c>
      <c r="P37" s="820">
        <f>Подготовка_курс[[#This Row],[пПразни]]*(LEN(Подготовка_курс[[#This Row],[ОКС]])=0)</f>
        <v>0</v>
      </c>
      <c r="Q37" s="820">
        <f>Подготовка_курс[[#This Row],[пПразни]]*(LEN(Подготовка_курс[[#This Row],[ФормаОб]])=0)</f>
        <v>0</v>
      </c>
      <c r="R37" s="821">
        <f>Подготовка_курс[[#This Row],[пПразни]]*(LEN(Подготовка_курс[[#This Row],[Семестър]])=0)</f>
        <v>0</v>
      </c>
      <c r="S37" s="821">
        <f>Подготовка_курс[[#This Row],[пПразни]]*(SUM(Подготовка_курс[[#This Row],[Лекции]:[Упражнения]])=0)</f>
        <v>0</v>
      </c>
      <c r="T37" s="820">
        <f>((12-COUNTBLANK(Подготовка_курс[[#This Row],[Дейност]:[Семестър]]))&gt;1)*1</f>
        <v>0</v>
      </c>
      <c r="U37" s="826">
        <f>IFERROR(VLOOKUP(Подготовка_курс[[#This Row],[Дейност]]&amp;"|"&amp;Подготовка_курс[[#This Row],[ФормаОб]],T_ПодгКурс[[код]:[Коефициент]],2,0)*IF(Подготовка_курс[[#This Row],[ОКС]]="няколко",0.5,1),0)</f>
        <v>0</v>
      </c>
      <c r="V37" s="827">
        <f>IFERROR(SUM(Подготовка_курс[[#This Row],[Лекции]:[Упражнения]])*Подготовка_курс[[#This Row],[кДейност]]/Подготовка_курс[[#This Row],[Екип]],0)</f>
        <v>0</v>
      </c>
      <c r="W37" s="813" t="str">
        <f>IF(OR(Подготовка_курс[[#This Row],[ОКС]]="няколко",Подготовка_курс[[#This Row],[ОКС]]="бакалавър"),Подготовка_курс[[#This Row],[Дейност]]&amp;"|Б|"&amp;Подготовка_курс[[#This Row],[Семестър]],"")</f>
        <v/>
      </c>
      <c r="X37" s="815" t="str">
        <f>IF(OR(Подготовка_курс[[#This Row],[ОКС]]="няколко",Подготовка_курс[[#This Row],[ОКС]]="магистър"),Подготовка_курс[[#This Row],[Дейност]]&amp;"|М|"&amp;Подготовка_курс[[#This Row],[Семестър]],"")</f>
        <v/>
      </c>
    </row>
  </sheetData>
  <sheetProtection algorithmName="SHA-512" hashValue="zMfCKZIuHvsNE6xYNSb49g8jMAxFf9CBjCmkApj/MNct0kcB8i3l52xUWWOIX0LJqhSoo1tqFBA8FvI7sAPCmA==" saltValue="MaScJI6TQMoPqEvU4LOXrw==" spinCount="100000" sheet="1" objects="1" scenarios="1" formatCells="0" formatRows="0"/>
  <mergeCells count="38">
    <mergeCell ref="B7:M7"/>
    <mergeCell ref="W24:X25"/>
    <mergeCell ref="N24:T25"/>
    <mergeCell ref="U24:V25"/>
    <mergeCell ref="B1:M1"/>
    <mergeCell ref="B2:M2"/>
    <mergeCell ref="B3:M3"/>
    <mergeCell ref="H6:I6"/>
    <mergeCell ref="J6:K6"/>
    <mergeCell ref="L6:M6"/>
    <mergeCell ref="B5:C5"/>
    <mergeCell ref="I5:J5"/>
    <mergeCell ref="B21:M21"/>
    <mergeCell ref="B16:M16"/>
    <mergeCell ref="B17:M17"/>
    <mergeCell ref="B18:M18"/>
    <mergeCell ref="B19:M19"/>
    <mergeCell ref="B20:M20"/>
    <mergeCell ref="B9:M9"/>
    <mergeCell ref="B8:M8"/>
    <mergeCell ref="B10:M10"/>
    <mergeCell ref="B12:M12"/>
    <mergeCell ref="B13:M13"/>
    <mergeCell ref="B14:M14"/>
    <mergeCell ref="B15:M15"/>
    <mergeCell ref="B11:M11"/>
    <mergeCell ref="B23:M23"/>
    <mergeCell ref="M24:M25"/>
    <mergeCell ref="J24:J25"/>
    <mergeCell ref="I24:I25"/>
    <mergeCell ref="H24:H25"/>
    <mergeCell ref="G24:G25"/>
    <mergeCell ref="F24:F25"/>
    <mergeCell ref="E24:E25"/>
    <mergeCell ref="D24:D25"/>
    <mergeCell ref="C24:C25"/>
    <mergeCell ref="B24:B25"/>
    <mergeCell ref="K24:L24"/>
  </mergeCells>
  <conditionalFormatting sqref="B7">
    <cfRule type="expression" dxfId="32" priority="8">
      <formula>B7=CELL(mark)</formula>
    </cfRule>
  </conditionalFormatting>
  <conditionalFormatting sqref="B27:C37">
    <cfRule type="expression" dxfId="31" priority="7">
      <formula>N27</formula>
    </cfRule>
  </conditionalFormatting>
  <conditionalFormatting sqref="E27:E37">
    <cfRule type="expression" dxfId="30" priority="49">
      <formula>P27</formula>
    </cfRule>
  </conditionalFormatting>
  <conditionalFormatting sqref="I27:I37">
    <cfRule type="expression" dxfId="29" priority="50">
      <formula>Q27</formula>
    </cfRule>
  </conditionalFormatting>
  <conditionalFormatting sqref="M27:M37">
    <cfRule type="expression" dxfId="28" priority="51">
      <formula>R27</formula>
    </cfRule>
  </conditionalFormatting>
  <conditionalFormatting sqref="J27:J37">
    <cfRule type="containsBlanks" dxfId="27" priority="52">
      <formula>LEN(TRIM(J27))=0</formula>
    </cfRule>
  </conditionalFormatting>
  <conditionalFormatting sqref="K27:L37">
    <cfRule type="expression" dxfId="26" priority="1">
      <formula>$S27</formula>
    </cfRule>
  </conditionalFormatting>
  <dataValidations count="1">
    <dataValidation type="decimal" operator="greaterThanOrEqual" allowBlank="1" showInputMessage="1" showErrorMessage="1" sqref="C27:C37 K27:L37" xr:uid="{AC2581BB-BA13-4FA1-8303-87A3B59ED494}">
      <formula1>0</formula1>
    </dataValidation>
  </dataValidations>
  <hyperlinks>
    <hyperlink ref="F5" location="'2. ОКС &quot;бакалавър&quot;'!N24" tooltip="ОКС &quot;бакалавър&quot;" display="ОКС &quot;бакалавър&quot;" xr:uid="{186995DD-9DA5-4E07-9BC3-2B6967131A5E}"/>
    <hyperlink ref="G5" location="'3. ОКС &quot;магистър&quot;'!N24" tooltip="ОКС &quot;магистър&quot;" display="ОКС &quot;магистър&quot;" xr:uid="{3D3410A7-B685-4129-BAB6-F0DBA1C00849}"/>
    <hyperlink ref="I5" location="ONSDr" display="ОНС &quot;доктор&quot;" xr:uid="{48F78D05-5D62-40A8-B328-6F13AE4EF8BC}"/>
    <hyperlink ref="L5" location="'5. Подготовка на курс'!B7" tooltip="Инструкция" display="Инструкция" xr:uid="{A7CB3DC7-A715-48CE-A216-9A5A7C4CCCAB}"/>
    <hyperlink ref="M5" r:id="rId1" tooltip="email: ipio@uni-sofia.bg" xr:uid="{04C6EF5F-45ED-455E-9F03-4728707D114B}"/>
    <hyperlink ref="D5" location="'1. Отчет'!B6" tooltip="Титулна страница" display="Титулна страница" xr:uid="{3F32F074-2258-4F96-8180-D381975E038F}"/>
    <hyperlink ref="I5:J5" location="'4. ОНС &quot;доктор&quot;'!B21" tooltip="ОНС &quot;доктор&quot;" display="ОНС &quot;доктор&quot;" xr:uid="{8102C8AF-43CF-49D7-8855-A18055B1A837}"/>
  </hyperlinks>
  <printOptions horizontalCentered="1"/>
  <pageMargins left="0.31496062992125984" right="0.35433070866141736" top="0.31496062992125984" bottom="0.74803149606299213" header="0.31496062992125984" footer="0.31496062992125984"/>
  <pageSetup paperSize="9" scale="71" fitToHeight="0" orientation="landscape" r:id="rId2"/>
  <headerFooter>
    <oddFooter>&amp;RПодпис:...................................................................</oddFooter>
  </headerFooter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Посочете дейността, която планирате:_x000a_нов курс_x000a_учебни ресурси_x000a_актуализация_x000a_" xr:uid="{00000000-0002-0000-0F00-000001000000}">
          <x14:formula1>
            <xm:f>list!$A$91:$A$93</xm:f>
          </x14:formula1>
          <xm:sqref>B27:B37</xm:sqref>
        </x14:dataValidation>
        <x14:dataValidation type="list" allowBlank="1" showInputMessage="1" showErrorMessage="1" xr:uid="{00000000-0002-0000-0F00-000002000000}">
          <x14:formula1>
            <xm:f>list!$A$59:$A$61</xm:f>
          </x14:formula1>
          <xm:sqref>J27:J37</xm:sqref>
        </x14:dataValidation>
        <x14:dataValidation type="list" allowBlank="1" showInputMessage="1" showErrorMessage="1" error="Можете да въведете само едно от следните:_x000a_бакалавър_x000a_магистър_x000a_няколко" xr:uid="{00000000-0002-0000-0F00-000003000000}">
          <x14:formula1>
            <xm:f>list!$C$91:$C$93</xm:f>
          </x14:formula1>
          <xm:sqref>E27:E37</xm:sqref>
        </x14:dataValidation>
        <x14:dataValidation type="list" allowBlank="1" showInputMessage="1" showErrorMessage="1" error="Въведете без интервали една от опциите:_x000a_р.об._x000a_з.об._x000a_д.об." xr:uid="{00000000-0002-0000-0F00-000004000000}">
          <x14:formula1>
            <xm:f>list!$A$53:$A$55</xm:f>
          </x14:formula1>
          <xm:sqref>I27:I37</xm:sqref>
        </x14:dataValidation>
        <x14:dataValidation type="list" allowBlank="1" showInputMessage="1" showErrorMessage="1" xr:uid="{00000000-0002-0000-0F00-000005000000}">
          <x14:formula1>
            <xm:f>list!$B$53:$B$55</xm:f>
          </x14:formula1>
          <xm:sqref>H27:H37</xm:sqref>
        </x14:dataValidation>
        <x14:dataValidation type="list" allowBlank="1" showInputMessage="1" showErrorMessage="1" xr:uid="{00000000-0002-0000-0F00-000006000000}">
          <x14:formula1>
            <xm:f>list!$A$24:$A$40</xm:f>
          </x14:formula1>
          <xm:sqref>G27:G37</xm:sqref>
        </x14:dataValidation>
        <x14:dataValidation type="list" allowBlank="1" showInputMessage="1" showErrorMessage="1" xr:uid="{00000000-0002-0000-0F00-000007000000}">
          <x14:formula1>
            <xm:f>INDIRECT(ПЕРИОД!$D$14)</xm:f>
          </x14:formula1>
          <xm:sqref>M27:M37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45474A-BE7A-4D78-B172-234412DBFA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186</vt:i4>
      </vt:variant>
    </vt:vector>
  </HeadingPairs>
  <TitlesOfParts>
    <vt:vector size="197" baseType="lpstr">
      <vt:lpstr>list</vt:lpstr>
      <vt:lpstr>Coef</vt:lpstr>
      <vt:lpstr>ПЕРИОД</vt:lpstr>
      <vt:lpstr>Корекции</vt:lpstr>
      <vt:lpstr>1. Планд</vt:lpstr>
      <vt:lpstr>1. План</vt:lpstr>
      <vt:lpstr>1. Отчет</vt:lpstr>
      <vt:lpstr>2. ОКС "бакалавър"</vt:lpstr>
      <vt:lpstr>3. ОКС "магистър"</vt:lpstr>
      <vt:lpstr>4. ОНС "доктор"</vt:lpstr>
      <vt:lpstr>5. Подготовка на курс</vt:lpstr>
      <vt:lpstr>BM4DisciplinaD</vt:lpstr>
      <vt:lpstr>BM4KDI</vt:lpstr>
      <vt:lpstr>BM4NRD</vt:lpstr>
      <vt:lpstr>BM4PN</vt:lpstr>
      <vt:lpstr>BM5BrEkip</vt:lpstr>
      <vt:lpstr>BM5Deinost</vt:lpstr>
      <vt:lpstr>BM5Disciplina</vt:lpstr>
      <vt:lpstr>BM5Facultet</vt:lpstr>
      <vt:lpstr>'1. План'!BM5Forma</vt:lpstr>
      <vt:lpstr>BM5Forma</vt:lpstr>
      <vt:lpstr>BM5LUPU</vt:lpstr>
      <vt:lpstr>BM5OKC</vt:lpstr>
      <vt:lpstr>BM5Semestar</vt:lpstr>
      <vt:lpstr>BM5Spec</vt:lpstr>
      <vt:lpstr>BM5Vid</vt:lpstr>
      <vt:lpstr>BMBrIzpitaniB</vt:lpstr>
      <vt:lpstr>BMBrIzpitaniD</vt:lpstr>
      <vt:lpstr>BMBrIzpitaniM</vt:lpstr>
      <vt:lpstr>BMBrKRB</vt:lpstr>
      <vt:lpstr>BMBrKRM</vt:lpstr>
      <vt:lpstr>BMBrLiUD</vt:lpstr>
      <vt:lpstr>BMBroiD</vt:lpstr>
      <vt:lpstr>BMBrStB</vt:lpstr>
      <vt:lpstr>BMBrStM</vt:lpstr>
      <vt:lpstr>BMBrTOB</vt:lpstr>
      <vt:lpstr>BMBrTOM</vt:lpstr>
      <vt:lpstr>BMDisciplinaB</vt:lpstr>
      <vt:lpstr>BMDisciplinaD</vt:lpstr>
      <vt:lpstr>BMdisciplinaM</vt:lpstr>
      <vt:lpstr>BMDopPoqsnenieD</vt:lpstr>
      <vt:lpstr>BMEzikB</vt:lpstr>
      <vt:lpstr>BMEzikD</vt:lpstr>
      <vt:lpstr>BMEzikM</vt:lpstr>
      <vt:lpstr>BMFakultetB</vt:lpstr>
      <vt:lpstr>BMFakultetM</vt:lpstr>
      <vt:lpstr>BMFormaObB</vt:lpstr>
      <vt:lpstr>BMFormaObM</vt:lpstr>
      <vt:lpstr>BMFormaOcB</vt:lpstr>
      <vt:lpstr>BMFormaOcM</vt:lpstr>
      <vt:lpstr>'1. Отчет'!BMHomeOP</vt:lpstr>
      <vt:lpstr>'1. План'!BMHomeOP</vt:lpstr>
      <vt:lpstr>BMHomeOP</vt:lpstr>
      <vt:lpstr>'1. Отчет'!BMHomeTotal</vt:lpstr>
      <vt:lpstr>'1. План'!BMHomeTotal</vt:lpstr>
      <vt:lpstr>BMHomeTotal</vt:lpstr>
      <vt:lpstr>BMKursB</vt:lpstr>
      <vt:lpstr>BMKursM</vt:lpstr>
      <vt:lpstr>BMNRD</vt:lpstr>
      <vt:lpstr>BMPodgotovkaKurs</vt:lpstr>
      <vt:lpstr>BMPraktikiZSM</vt:lpstr>
      <vt:lpstr>BMRealenBrLiUB</vt:lpstr>
      <vt:lpstr>BMRealenBrLiUM</vt:lpstr>
      <vt:lpstr>BMSpecialnostB</vt:lpstr>
      <vt:lpstr>BMSpecialnostM</vt:lpstr>
      <vt:lpstr>BMTAB</vt:lpstr>
      <vt:lpstr>BMTAM</vt:lpstr>
      <vt:lpstr>BMVidDB</vt:lpstr>
      <vt:lpstr>BMVidDM</vt:lpstr>
      <vt:lpstr>BrStB</vt:lpstr>
      <vt:lpstr>'1. План'!Col_Hide_1_План</vt:lpstr>
      <vt:lpstr>Col_Hide_3_ОКС_Магистър</vt:lpstr>
      <vt:lpstr>Col_Hide_4_ОНС_Доктор</vt:lpstr>
      <vt:lpstr>Col_Hide_5_Подготовка_курс</vt:lpstr>
      <vt:lpstr>d</vt:lpstr>
      <vt:lpstr>disciplinaB</vt:lpstr>
      <vt:lpstr>disciplinaM</vt:lpstr>
      <vt:lpstr>'2. ОКС "бакалавър"'!Extract</vt:lpstr>
      <vt:lpstr>EzikB</vt:lpstr>
      <vt:lpstr>FakultetB</vt:lpstr>
      <vt:lpstr>FakultetM</vt:lpstr>
      <vt:lpstr>FileName_Semester</vt:lpstr>
      <vt:lpstr>FormaObB</vt:lpstr>
      <vt:lpstr>FormaOcB</vt:lpstr>
      <vt:lpstr>Instrukcia</vt:lpstr>
      <vt:lpstr>InstrukciaB</vt:lpstr>
      <vt:lpstr>InstrukciaD</vt:lpstr>
      <vt:lpstr>InstrukciaM</vt:lpstr>
      <vt:lpstr>'1. Отчет'!IPBMD</vt:lpstr>
      <vt:lpstr>'1. План'!IPBMD</vt:lpstr>
      <vt:lpstr>IPBMD</vt:lpstr>
      <vt:lpstr>KursB</vt:lpstr>
      <vt:lpstr>KursM</vt:lpstr>
      <vt:lpstr>L_Инструкция_Бакалавър</vt:lpstr>
      <vt:lpstr>L_Инструкция_Доктор</vt:lpstr>
      <vt:lpstr>L_Инструкция_Магистър</vt:lpstr>
      <vt:lpstr>L_Инструкция_ПодготовкаКурс</vt:lpstr>
      <vt:lpstr>LetenSemestarB</vt:lpstr>
      <vt:lpstr>LetenSemestarM</vt:lpstr>
      <vt:lpstr>mark</vt:lpstr>
      <vt:lpstr>nGetLenData1</vt:lpstr>
      <vt:lpstr>nGetLenData2</vt:lpstr>
      <vt:lpstr>nGetLogData1</vt:lpstr>
      <vt:lpstr>nGetLogData2</vt:lpstr>
      <vt:lpstr>nnГодишнаЗаетост</vt:lpstr>
      <vt:lpstr>nnОтчет</vt:lpstr>
      <vt:lpstr>nnРеалниЧасове</vt:lpstr>
      <vt:lpstr>nАдадДлъжОтчет</vt:lpstr>
      <vt:lpstr>nАдадДлъжПлан</vt:lpstr>
      <vt:lpstr>nАктуализация</vt:lpstr>
      <vt:lpstr>nБакалавър</vt:lpstr>
      <vt:lpstr>nд_об</vt:lpstr>
      <vt:lpstr>nЗимен</vt:lpstr>
      <vt:lpstr>nЗименЛетен</vt:lpstr>
      <vt:lpstr>nКатедраОтчет</vt:lpstr>
      <vt:lpstr>nКатедраПлан</vt:lpstr>
      <vt:lpstr>nкоефД_об</vt:lpstr>
      <vt:lpstr>nкоефР_об_З_об</vt:lpstr>
      <vt:lpstr>nЛетен</vt:lpstr>
      <vt:lpstr>nМагистър</vt:lpstr>
      <vt:lpstr>nНов_курс</vt:lpstr>
      <vt:lpstr>nПреподавателОтчет</vt:lpstr>
      <vt:lpstr>nПреподавателПлан</vt:lpstr>
      <vt:lpstr>nРъковДлъжОтчет</vt:lpstr>
      <vt:lpstr>nРъковДлъжПлан</vt:lpstr>
      <vt:lpstr>nУчебни_ресурси</vt:lpstr>
      <vt:lpstr>nФакултетОтчет</vt:lpstr>
      <vt:lpstr>nФакултетПлан</vt:lpstr>
      <vt:lpstr>ObPotokB</vt:lpstr>
      <vt:lpstr>ObPotokM</vt:lpstr>
      <vt:lpstr>ONSDr</vt:lpstr>
      <vt:lpstr>Print_1_Отчет</vt:lpstr>
      <vt:lpstr>'1. План'!Print_1_План</vt:lpstr>
      <vt:lpstr>Print_1_План</vt:lpstr>
      <vt:lpstr>Print_2_Бакалавър_Зимен</vt:lpstr>
      <vt:lpstr>Print_2_Бакалавър_Летен</vt:lpstr>
      <vt:lpstr>Print_2_Бакалавър_План</vt:lpstr>
      <vt:lpstr>Print_2_Бакалавър_Септември</vt:lpstr>
      <vt:lpstr>Print_3_Магистър_Зимен</vt:lpstr>
      <vt:lpstr>Print_3_Магистър_Летен</vt:lpstr>
      <vt:lpstr>Print_3_Магистър_План</vt:lpstr>
      <vt:lpstr>Print_3_Магистър_Септември</vt:lpstr>
      <vt:lpstr>'1. Отчет'!Print_Area</vt:lpstr>
      <vt:lpstr>'1. План'!Print_Area</vt:lpstr>
      <vt:lpstr>'1. Планд'!Print_Area</vt:lpstr>
      <vt:lpstr>'2. ОКС "бакалавър"'!Print_Area</vt:lpstr>
      <vt:lpstr>'3. ОКС "магистър"'!Print_Area</vt:lpstr>
      <vt:lpstr>'4. ОНС "доктор"'!Print_Area</vt:lpstr>
      <vt:lpstr>'5. Подготовка на курс'!Print_Area</vt:lpstr>
      <vt:lpstr>'2. ОКС "бакалавър"'!Print_Titles</vt:lpstr>
      <vt:lpstr>'3. ОКС "магистър"'!Print_Titles</vt:lpstr>
      <vt:lpstr>'4. ОНС "доктор"'!Print_Titles</vt:lpstr>
      <vt:lpstr>'5. Подготовка на курс'!Print_Titles</vt:lpstr>
      <vt:lpstr>RealenBrLiUB</vt:lpstr>
      <vt:lpstr>RealenBrLiUM</vt:lpstr>
      <vt:lpstr>Row_Бакалавър_Hide</vt:lpstr>
      <vt:lpstr>Row_Бакалавър_PotokB</vt:lpstr>
      <vt:lpstr>Row_Бакалавър_Table_Header</vt:lpstr>
      <vt:lpstr>Row_Бакалавър_Зимен_семестър</vt:lpstr>
      <vt:lpstr>Row_Бакалавър_Летен_семестър</vt:lpstr>
      <vt:lpstr>Row_Бакалавър_Отчет_Hide</vt:lpstr>
      <vt:lpstr>Row_Бакалавър_План</vt:lpstr>
      <vt:lpstr>Row_Бакалавър_План_Hide</vt:lpstr>
      <vt:lpstr>Row_Бакалавър_Септември</vt:lpstr>
      <vt:lpstr>Row_Магистър_Hide</vt:lpstr>
      <vt:lpstr>Row_Магистър_PotokM</vt:lpstr>
      <vt:lpstr>Row_Магистър_Table_Header</vt:lpstr>
      <vt:lpstr>Row_Магистър_Зимен_семестър</vt:lpstr>
      <vt:lpstr>Row_Магистър_Летен_семестър</vt:lpstr>
      <vt:lpstr>Row_Магистър_Отчет_Hide</vt:lpstr>
      <vt:lpstr>Row_Магистър_План</vt:lpstr>
      <vt:lpstr>Row_Магистър_План_Hide</vt:lpstr>
      <vt:lpstr>Row_Магистър_Септември</vt:lpstr>
      <vt:lpstr>RRRRR3</vt:lpstr>
      <vt:lpstr>SpecialnostB</vt:lpstr>
      <vt:lpstr>SpecialnostM</vt:lpstr>
      <vt:lpstr>VidDB</vt:lpstr>
      <vt:lpstr>VidDM</vt:lpstr>
      <vt:lpstr>ZimenSemestarB</vt:lpstr>
      <vt:lpstr>ZimenSemestarM</vt:lpstr>
      <vt:lpstr>Език_БЕ</vt:lpstr>
      <vt:lpstr>Език_ЧЕ</vt:lpstr>
      <vt:lpstr>кДИ_защита</vt:lpstr>
      <vt:lpstr>кДипломна_работа</vt:lpstr>
      <vt:lpstr>кЕзик_БЕ</vt:lpstr>
      <vt:lpstr>кЕзик_ФЧЕ</vt:lpstr>
      <vt:lpstr>кЕзик_ЧЕ</vt:lpstr>
      <vt:lpstr>кИзпитаниДок</vt:lpstr>
      <vt:lpstr>кКурсова_работа</vt:lpstr>
      <vt:lpstr>кЛекции</vt:lpstr>
      <vt:lpstr>кРецензия</vt:lpstr>
      <vt:lpstr>кТО</vt:lpstr>
      <vt:lpstr>кУпражнение</vt:lpstr>
      <vt:lpstr>Лекторат</vt:lpstr>
      <vt:lpstr>пФакултет</vt:lpstr>
      <vt:lpstr>Семестър</vt:lpstr>
      <vt:lpstr>Учебна_година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</dc:creator>
  <cp:lastModifiedBy>Ridvan</cp:lastModifiedBy>
  <cp:lastPrinted>2021-02-17T16:41:22Z</cp:lastPrinted>
  <dcterms:created xsi:type="dcterms:W3CDTF">2017-08-06T03:37:54Z</dcterms:created>
  <dcterms:modified xsi:type="dcterms:W3CDTF">2021-07-01T11:35:41Z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D">
    <vt:lpwstr>15.09.2019</vt:lpwstr>
  </property>
</Properties>
</file>